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orradic\RAGIONERIA\Chiusure Bilancio esercizio\Anno 2024\PER SITO\"/>
    </mc:Choice>
  </mc:AlternateContent>
  <xr:revisionPtr revIDLastSave="0" documentId="8_{0DA0155B-07DF-4BEC-8D98-C1C14A59C7BF}" xr6:coauthVersionLast="47" xr6:coauthVersionMax="47" xr10:uidLastSave="{00000000-0000-0000-0000-000000000000}"/>
  <bookViews>
    <workbookView xWindow="-120" yWindow="-120" windowWidth="29040" windowHeight="15720" xr2:uid="{C9C33488-0D29-4BC9-B602-A304E22502E9}"/>
  </bookViews>
  <sheets>
    <sheet name="Conto Economico 202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'Conto Economico 2024'!$A$1:$WWZ$358</definedName>
    <definedName name="JR_PAGE_ANCHOR_0_1">[7]CU_RiepilogoPresenzeClassificaz!#REF!</definedName>
    <definedName name="_xlnm.Print_Titles" localSheetId="0">'Conto Economico 2024'!$1:$1</definedName>
    <definedName name="VOCI">[8]VOCI!$A$2:$A$30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Q357" i="1" l="1"/>
  <c r="BI357" i="1"/>
  <c r="BG357" i="1"/>
  <c r="AW357" i="1"/>
  <c r="AB357" i="1"/>
  <c r="V357" i="1"/>
  <c r="P357" i="1"/>
  <c r="BQ356" i="1"/>
  <c r="BI356" i="1"/>
  <c r="BG356" i="1"/>
  <c r="AW356" i="1"/>
  <c r="AB356" i="1"/>
  <c r="V356" i="1"/>
  <c r="P356" i="1"/>
  <c r="BQ355" i="1"/>
  <c r="BI355" i="1"/>
  <c r="BG355" i="1"/>
  <c r="AW355" i="1"/>
  <c r="AB355" i="1"/>
  <c r="V355" i="1"/>
  <c r="P355" i="1"/>
  <c r="BQ354" i="1"/>
  <c r="BI354" i="1"/>
  <c r="BG354" i="1"/>
  <c r="AW354" i="1"/>
  <c r="AB354" i="1"/>
  <c r="V354" i="1"/>
  <c r="P354" i="1"/>
  <c r="BQ353" i="1"/>
  <c r="BI353" i="1"/>
  <c r="BG353" i="1"/>
  <c r="AW353" i="1"/>
  <c r="AB353" i="1"/>
  <c r="V353" i="1"/>
  <c r="P353" i="1"/>
  <c r="BV351" i="1"/>
  <c r="BR351" i="1"/>
  <c r="BQ351" i="1"/>
  <c r="BJ351" i="1"/>
  <c r="BH351" i="1"/>
  <c r="BL351" i="1" s="1"/>
  <c r="BL350" i="1" s="1"/>
  <c r="BL349" i="1" s="1"/>
  <c r="BL348" i="1" s="1"/>
  <c r="BL347" i="1" s="1"/>
  <c r="AY351" i="1"/>
  <c r="AX351" i="1"/>
  <c r="AV351" i="1"/>
  <c r="AO351" i="1"/>
  <c r="AN351" i="1"/>
  <c r="AM351" i="1"/>
  <c r="AJ351" i="1"/>
  <c r="AB351" i="1"/>
  <c r="AA351" i="1"/>
  <c r="Y351" i="1"/>
  <c r="V351" i="1"/>
  <c r="U351" i="1"/>
  <c r="T351" i="1"/>
  <c r="P351" i="1"/>
  <c r="P350" i="1" s="1"/>
  <c r="CD350" i="1"/>
  <c r="CD349" i="1" s="1"/>
  <c r="CD348" i="1" s="1"/>
  <c r="CD347" i="1" s="1"/>
  <c r="BP350" i="1"/>
  <c r="BO350" i="1"/>
  <c r="BN350" i="1"/>
  <c r="BK350" i="1"/>
  <c r="BK349" i="1" s="1"/>
  <c r="BK348" i="1" s="1"/>
  <c r="BK347" i="1" s="1"/>
  <c r="BJ350" i="1"/>
  <c r="BH350" i="1"/>
  <c r="BF350" i="1"/>
  <c r="BE350" i="1"/>
  <c r="BD350" i="1"/>
  <c r="BC350" i="1"/>
  <c r="BB350" i="1"/>
  <c r="BA350" i="1"/>
  <c r="AZ350" i="1"/>
  <c r="AY350" i="1"/>
  <c r="AY349" i="1" s="1"/>
  <c r="AY348" i="1" s="1"/>
  <c r="AY347" i="1" s="1"/>
  <c r="AX350" i="1"/>
  <c r="AV350" i="1"/>
  <c r="AV349" i="1" s="1"/>
  <c r="AV348" i="1" s="1"/>
  <c r="AV347" i="1" s="1"/>
  <c r="AU350" i="1"/>
  <c r="AU349" i="1" s="1"/>
  <c r="AU348" i="1" s="1"/>
  <c r="AU347" i="1" s="1"/>
  <c r="AT350" i="1"/>
  <c r="AL350" i="1"/>
  <c r="AN350" i="1" s="1"/>
  <c r="AK350" i="1"/>
  <c r="AJ350" i="1"/>
  <c r="AI350" i="1"/>
  <c r="AO350" i="1" s="1"/>
  <c r="AH350" i="1"/>
  <c r="AG350" i="1"/>
  <c r="AG349" i="1" s="1"/>
  <c r="AG348" i="1" s="1"/>
  <c r="AG347" i="1" s="1"/>
  <c r="AF350" i="1"/>
  <c r="AF349" i="1" s="1"/>
  <c r="AF348" i="1" s="1"/>
  <c r="AF347" i="1" s="1"/>
  <c r="AE350" i="1"/>
  <c r="AE349" i="1" s="1"/>
  <c r="AE348" i="1" s="1"/>
  <c r="AE347" i="1" s="1"/>
  <c r="AD350" i="1"/>
  <c r="AC350" i="1"/>
  <c r="AB350" i="1"/>
  <c r="AA350" i="1"/>
  <c r="Z350" i="1"/>
  <c r="X350" i="1"/>
  <c r="Y350" i="1" s="1"/>
  <c r="S350" i="1"/>
  <c r="Q350" i="1"/>
  <c r="Q349" i="1" s="1"/>
  <c r="Q348" i="1" s="1"/>
  <c r="Q347" i="1" s="1"/>
  <c r="O350" i="1"/>
  <c r="N350" i="1"/>
  <c r="M350" i="1"/>
  <c r="L350" i="1"/>
  <c r="K350" i="1"/>
  <c r="J350" i="1"/>
  <c r="I350" i="1"/>
  <c r="I349" i="1" s="1"/>
  <c r="I348" i="1" s="1"/>
  <c r="I347" i="1" s="1"/>
  <c r="BR349" i="1"/>
  <c r="BQ349" i="1"/>
  <c r="BP349" i="1"/>
  <c r="BO349" i="1"/>
  <c r="BN349" i="1"/>
  <c r="BJ349" i="1"/>
  <c r="BF349" i="1"/>
  <c r="BF348" i="1" s="1"/>
  <c r="BF347" i="1" s="1"/>
  <c r="BE349" i="1"/>
  <c r="BE348" i="1" s="1"/>
  <c r="BE347" i="1" s="1"/>
  <c r="BD349" i="1"/>
  <c r="BC349" i="1"/>
  <c r="BB349" i="1"/>
  <c r="BA349" i="1"/>
  <c r="AZ349" i="1"/>
  <c r="AX349" i="1"/>
  <c r="AT349" i="1"/>
  <c r="AT348" i="1" s="1"/>
  <c r="AT347" i="1" s="1"/>
  <c r="AL349" i="1"/>
  <c r="AK349" i="1"/>
  <c r="AJ349" i="1"/>
  <c r="AH349" i="1"/>
  <c r="AD349" i="1"/>
  <c r="AD348" i="1" s="1"/>
  <c r="AD347" i="1" s="1"/>
  <c r="AC349" i="1"/>
  <c r="AC348" i="1" s="1"/>
  <c r="AC347" i="1" s="1"/>
  <c r="AB349" i="1"/>
  <c r="AA349" i="1"/>
  <c r="Z349" i="1"/>
  <c r="AN349" i="1" s="1"/>
  <c r="X349" i="1"/>
  <c r="P349" i="1"/>
  <c r="P348" i="1" s="1"/>
  <c r="P347" i="1" s="1"/>
  <c r="O349" i="1"/>
  <c r="O348" i="1" s="1"/>
  <c r="O347" i="1" s="1"/>
  <c r="N349" i="1"/>
  <c r="M349" i="1"/>
  <c r="L349" i="1"/>
  <c r="K349" i="1"/>
  <c r="J349" i="1"/>
  <c r="BP348" i="1"/>
  <c r="BO348" i="1"/>
  <c r="BO347" i="1" s="1"/>
  <c r="BN348" i="1"/>
  <c r="BJ348" i="1"/>
  <c r="BD348" i="1"/>
  <c r="BD347" i="1" s="1"/>
  <c r="BC348" i="1"/>
  <c r="BC347" i="1" s="1"/>
  <c r="BB348" i="1"/>
  <c r="BA348" i="1"/>
  <c r="AZ348" i="1"/>
  <c r="AX348" i="1"/>
  <c r="AN348" i="1"/>
  <c r="AL348" i="1"/>
  <c r="AK348" i="1"/>
  <c r="AJ348" i="1"/>
  <c r="AH348" i="1"/>
  <c r="AB348" i="1"/>
  <c r="AB347" i="1" s="1"/>
  <c r="AA348" i="1"/>
  <c r="AA347" i="1" s="1"/>
  <c r="Z348" i="1"/>
  <c r="X348" i="1"/>
  <c r="N348" i="1"/>
  <c r="N347" i="1" s="1"/>
  <c r="M348" i="1"/>
  <c r="M347" i="1" s="1"/>
  <c r="L348" i="1"/>
  <c r="K348" i="1"/>
  <c r="J348" i="1"/>
  <c r="BN347" i="1"/>
  <c r="BJ347" i="1"/>
  <c r="BB347" i="1"/>
  <c r="BA347" i="1"/>
  <c r="AZ347" i="1"/>
  <c r="AX347" i="1"/>
  <c r="AL347" i="1"/>
  <c r="AK347" i="1"/>
  <c r="AJ347" i="1"/>
  <c r="AH347" i="1"/>
  <c r="Z347" i="1"/>
  <c r="X347" i="1"/>
  <c r="L347" i="1"/>
  <c r="K347" i="1"/>
  <c r="J347" i="1"/>
  <c r="BV345" i="1"/>
  <c r="BR345" i="1"/>
  <c r="BQ345" i="1"/>
  <c r="BM345" i="1"/>
  <c r="BL345" i="1"/>
  <c r="BJ345" i="1"/>
  <c r="BI345" i="1"/>
  <c r="BG345" i="1"/>
  <c r="AY345" i="1"/>
  <c r="AX345" i="1"/>
  <c r="AW345" i="1"/>
  <c r="AO345" i="1"/>
  <c r="AN345" i="1"/>
  <c r="AM345" i="1"/>
  <c r="AJ345" i="1"/>
  <c r="AB345" i="1"/>
  <c r="AA345" i="1"/>
  <c r="Y345" i="1"/>
  <c r="V345" i="1"/>
  <c r="U345" i="1"/>
  <c r="T345" i="1"/>
  <c r="P345" i="1"/>
  <c r="BV344" i="1"/>
  <c r="BR344" i="1"/>
  <c r="BQ344" i="1"/>
  <c r="BM344" i="1"/>
  <c r="BL344" i="1"/>
  <c r="BJ344" i="1"/>
  <c r="BI344" i="1"/>
  <c r="BG344" i="1"/>
  <c r="AY344" i="1"/>
  <c r="AX344" i="1"/>
  <c r="AW344" i="1"/>
  <c r="AO344" i="1"/>
  <c r="AN344" i="1"/>
  <c r="AM344" i="1"/>
  <c r="AJ344" i="1"/>
  <c r="AB344" i="1"/>
  <c r="AA344" i="1"/>
  <c r="Y344" i="1"/>
  <c r="V344" i="1"/>
  <c r="U344" i="1"/>
  <c r="T344" i="1"/>
  <c r="P344" i="1"/>
  <c r="BV343" i="1"/>
  <c r="BR343" i="1"/>
  <c r="BQ343" i="1"/>
  <c r="BM343" i="1"/>
  <c r="BL343" i="1"/>
  <c r="BJ343" i="1"/>
  <c r="BI343" i="1"/>
  <c r="BG343" i="1"/>
  <c r="AY343" i="1"/>
  <c r="AX343" i="1"/>
  <c r="AW343" i="1"/>
  <c r="AO343" i="1"/>
  <c r="AN343" i="1"/>
  <c r="AM343" i="1"/>
  <c r="AJ343" i="1"/>
  <c r="AB343" i="1"/>
  <c r="AA343" i="1"/>
  <c r="Y343" i="1"/>
  <c r="V343" i="1"/>
  <c r="U343" i="1"/>
  <c r="T343" i="1"/>
  <c r="BV342" i="1"/>
  <c r="BR342" i="1"/>
  <c r="BQ342" i="1"/>
  <c r="BM342" i="1"/>
  <c r="BL342" i="1"/>
  <c r="BJ342" i="1"/>
  <c r="BI342" i="1"/>
  <c r="BG342" i="1"/>
  <c r="AY342" i="1"/>
  <c r="AX342" i="1"/>
  <c r="AW342" i="1"/>
  <c r="AO342" i="1"/>
  <c r="AN342" i="1"/>
  <c r="AM342" i="1"/>
  <c r="AJ342" i="1"/>
  <c r="AB342" i="1"/>
  <c r="Y342" i="1"/>
  <c r="V342" i="1"/>
  <c r="Q342" i="1"/>
  <c r="P342" i="1"/>
  <c r="O342" i="1"/>
  <c r="N342" i="1"/>
  <c r="M342" i="1"/>
  <c r="L342" i="1"/>
  <c r="K342" i="1"/>
  <c r="U342" i="1" s="1"/>
  <c r="J342" i="1"/>
  <c r="I342" i="1"/>
  <c r="BV341" i="1"/>
  <c r="BR341" i="1"/>
  <c r="BQ341" i="1"/>
  <c r="BM341" i="1"/>
  <c r="BL341" i="1"/>
  <c r="BJ341" i="1"/>
  <c r="BI341" i="1"/>
  <c r="BH341" i="1"/>
  <c r="BG341" i="1"/>
  <c r="BG339" i="1" s="1"/>
  <c r="BG334" i="1" s="1"/>
  <c r="BG333" i="1" s="1"/>
  <c r="AY341" i="1"/>
  <c r="AM341" i="1"/>
  <c r="AH341" i="1"/>
  <c r="AH339" i="1" s="1"/>
  <c r="Z341" i="1"/>
  <c r="Y341" i="1"/>
  <c r="X341" i="1"/>
  <c r="S341" i="1"/>
  <c r="V341" i="1" s="1"/>
  <c r="P341" i="1"/>
  <c r="BR340" i="1"/>
  <c r="BQ340" i="1"/>
  <c r="BM340" i="1"/>
  <c r="BM339" i="1" s="1"/>
  <c r="BM334" i="1" s="1"/>
  <c r="BL340" i="1"/>
  <c r="BL339" i="1" s="1"/>
  <c r="BL334" i="1" s="1"/>
  <c r="BL333" i="1" s="1"/>
  <c r="BJ340" i="1"/>
  <c r="BI340" i="1"/>
  <c r="BH340" i="1"/>
  <c r="BV340" i="1" s="1"/>
  <c r="BG340" i="1"/>
  <c r="AY340" i="1"/>
  <c r="AM340" i="1"/>
  <c r="AH340" i="1"/>
  <c r="X340" i="1"/>
  <c r="Y340" i="1" s="1"/>
  <c r="S340" i="1"/>
  <c r="P340" i="1"/>
  <c r="CD339" i="1"/>
  <c r="BP339" i="1"/>
  <c r="BR339" i="1" s="1"/>
  <c r="BO339" i="1"/>
  <c r="BN339" i="1"/>
  <c r="BN334" i="1" s="1"/>
  <c r="BN333" i="1" s="1"/>
  <c r="BK339" i="1"/>
  <c r="BK334" i="1" s="1"/>
  <c r="BK333" i="1" s="1"/>
  <c r="BQ333" i="1" s="1"/>
  <c r="BJ339" i="1"/>
  <c r="BJ334" i="1" s="1"/>
  <c r="BJ333" i="1" s="1"/>
  <c r="BI339" i="1"/>
  <c r="BH339" i="1"/>
  <c r="BV339" i="1" s="1"/>
  <c r="BF339" i="1"/>
  <c r="BE339" i="1"/>
  <c r="BD339" i="1"/>
  <c r="BC339" i="1"/>
  <c r="BB339" i="1"/>
  <c r="BB334" i="1" s="1"/>
  <c r="BA339" i="1"/>
  <c r="AZ339" i="1"/>
  <c r="AY339" i="1"/>
  <c r="AY334" i="1" s="1"/>
  <c r="AY333" i="1" s="1"/>
  <c r="AV339" i="1"/>
  <c r="AU339" i="1"/>
  <c r="AT339" i="1"/>
  <c r="AM339" i="1"/>
  <c r="AL339" i="1"/>
  <c r="AK339" i="1"/>
  <c r="AI339" i="1"/>
  <c r="AG339" i="1"/>
  <c r="AF339" i="1"/>
  <c r="AE339" i="1"/>
  <c r="AD339" i="1"/>
  <c r="AD334" i="1" s="1"/>
  <c r="AD333" i="1" s="1"/>
  <c r="AC339" i="1"/>
  <c r="X339" i="1"/>
  <c r="Y339" i="1" s="1"/>
  <c r="S339" i="1"/>
  <c r="U339" i="1" s="1"/>
  <c r="Q339" i="1"/>
  <c r="P339" i="1"/>
  <c r="O339" i="1"/>
  <c r="V339" i="1" s="1"/>
  <c r="N339" i="1"/>
  <c r="M339" i="1"/>
  <c r="L339" i="1"/>
  <c r="L334" i="1" s="1"/>
  <c r="L333" i="1" s="1"/>
  <c r="L322" i="1" s="1"/>
  <c r="K339" i="1"/>
  <c r="I339" i="1"/>
  <c r="BV338" i="1"/>
  <c r="BR338" i="1"/>
  <c r="BQ338" i="1"/>
  <c r="AN338" i="1"/>
  <c r="AP338" i="1" s="1"/>
  <c r="AR338" i="1" s="1"/>
  <c r="AM338" i="1"/>
  <c r="AO338" i="1" s="1"/>
  <c r="AQ338" i="1" s="1"/>
  <c r="AS338" i="1" s="1"/>
  <c r="AJ338" i="1"/>
  <c r="AA338" i="1"/>
  <c r="S338" i="1"/>
  <c r="AB338" i="1" s="1"/>
  <c r="N338" i="1"/>
  <c r="P338" i="1" s="1"/>
  <c r="P337" i="1" s="1"/>
  <c r="P334" i="1" s="1"/>
  <c r="BV337" i="1"/>
  <c r="BR337" i="1"/>
  <c r="BQ337" i="1"/>
  <c r="AM337" i="1"/>
  <c r="AH337" i="1"/>
  <c r="AH334" i="1" s="1"/>
  <c r="AH333" i="1" s="1"/>
  <c r="AB337" i="1"/>
  <c r="AA337" i="1"/>
  <c r="Z337" i="1"/>
  <c r="AN337" i="1" s="1"/>
  <c r="AP337" i="1" s="1"/>
  <c r="AR337" i="1" s="1"/>
  <c r="X337" i="1"/>
  <c r="Y337" i="1" s="1"/>
  <c r="S337" i="1"/>
  <c r="Q337" i="1"/>
  <c r="N337" i="1"/>
  <c r="M337" i="1"/>
  <c r="M334" i="1" s="1"/>
  <c r="M333" i="1" s="1"/>
  <c r="M322" i="1" s="1"/>
  <c r="L337" i="1"/>
  <c r="K337" i="1"/>
  <c r="J337" i="1"/>
  <c r="I337" i="1"/>
  <c r="BV336" i="1"/>
  <c r="BR336" i="1"/>
  <c r="BQ336" i="1"/>
  <c r="AP336" i="1"/>
  <c r="AR336" i="1" s="1"/>
  <c r="AO336" i="1"/>
  <c r="AQ336" i="1" s="1"/>
  <c r="AS336" i="1" s="1"/>
  <c r="AN336" i="1"/>
  <c r="AM336" i="1"/>
  <c r="AJ336" i="1"/>
  <c r="AB336" i="1"/>
  <c r="AA336" i="1"/>
  <c r="Y336" i="1"/>
  <c r="V336" i="1"/>
  <c r="U336" i="1"/>
  <c r="T336" i="1"/>
  <c r="BV335" i="1"/>
  <c r="BR335" i="1"/>
  <c r="BQ335" i="1"/>
  <c r="AN335" i="1"/>
  <c r="AP335" i="1" s="1"/>
  <c r="AR335" i="1" s="1"/>
  <c r="AM335" i="1"/>
  <c r="AO335" i="1" s="1"/>
  <c r="AQ335" i="1" s="1"/>
  <c r="AS335" i="1" s="1"/>
  <c r="AJ335" i="1"/>
  <c r="AB335" i="1"/>
  <c r="AA335" i="1"/>
  <c r="Y335" i="1"/>
  <c r="V335" i="1"/>
  <c r="U335" i="1"/>
  <c r="T335" i="1"/>
  <c r="CD334" i="1"/>
  <c r="CD333" i="1" s="1"/>
  <c r="BP334" i="1"/>
  <c r="BR334" i="1" s="1"/>
  <c r="BO334" i="1"/>
  <c r="BI334" i="1"/>
  <c r="BH334" i="1"/>
  <c r="BV334" i="1" s="1"/>
  <c r="BF334" i="1"/>
  <c r="BE334" i="1"/>
  <c r="BD334" i="1"/>
  <c r="BC334" i="1"/>
  <c r="BA334" i="1"/>
  <c r="AZ334" i="1"/>
  <c r="AZ333" i="1" s="1"/>
  <c r="AV334" i="1"/>
  <c r="AV333" i="1" s="1"/>
  <c r="AU334" i="1"/>
  <c r="AT334" i="1"/>
  <c r="AK334" i="1"/>
  <c r="AI334" i="1"/>
  <c r="AG334" i="1"/>
  <c r="AF334" i="1"/>
  <c r="AE334" i="1"/>
  <c r="AC334" i="1"/>
  <c r="X334" i="1"/>
  <c r="Y334" i="1" s="1"/>
  <c r="S334" i="1"/>
  <c r="Q334" i="1"/>
  <c r="N334" i="1"/>
  <c r="N333" i="1" s="1"/>
  <c r="K334" i="1"/>
  <c r="J334" i="1"/>
  <c r="J333" i="1" s="1"/>
  <c r="J322" i="1" s="1"/>
  <c r="I334" i="1"/>
  <c r="BP333" i="1"/>
  <c r="BR333" i="1" s="1"/>
  <c r="BO333" i="1"/>
  <c r="BM333" i="1"/>
  <c r="BI333" i="1"/>
  <c r="BF333" i="1"/>
  <c r="BE333" i="1"/>
  <c r="BD333" i="1"/>
  <c r="BC333" i="1"/>
  <c r="BB333" i="1"/>
  <c r="BA333" i="1"/>
  <c r="AU333" i="1"/>
  <c r="AT333" i="1"/>
  <c r="AK333" i="1"/>
  <c r="AI333" i="1"/>
  <c r="AG333" i="1"/>
  <c r="AF333" i="1"/>
  <c r="AE333" i="1"/>
  <c r="AE322" i="1" s="1"/>
  <c r="AC333" i="1"/>
  <c r="S333" i="1"/>
  <c r="Q333" i="1"/>
  <c r="Q322" i="1" s="1"/>
  <c r="P333" i="1"/>
  <c r="K333" i="1"/>
  <c r="BV332" i="1"/>
  <c r="BR332" i="1"/>
  <c r="BQ332" i="1"/>
  <c r="BM332" i="1"/>
  <c r="BL332" i="1"/>
  <c r="BJ332" i="1"/>
  <c r="BI332" i="1"/>
  <c r="BG332" i="1"/>
  <c r="AY332" i="1"/>
  <c r="AX332" i="1"/>
  <c r="AW332" i="1"/>
  <c r="AO332" i="1"/>
  <c r="AN332" i="1"/>
  <c r="AM332" i="1"/>
  <c r="AJ332" i="1"/>
  <c r="AB332" i="1"/>
  <c r="AA332" i="1"/>
  <c r="Y332" i="1"/>
  <c r="V332" i="1"/>
  <c r="U332" i="1"/>
  <c r="T332" i="1"/>
  <c r="P332" i="1"/>
  <c r="BV331" i="1"/>
  <c r="BR331" i="1"/>
  <c r="BQ331" i="1"/>
  <c r="BM331" i="1"/>
  <c r="BL331" i="1"/>
  <c r="BJ331" i="1"/>
  <c r="BI331" i="1"/>
  <c r="BG331" i="1"/>
  <c r="AY331" i="1"/>
  <c r="AX331" i="1"/>
  <c r="AW331" i="1"/>
  <c r="AO331" i="1"/>
  <c r="AN331" i="1"/>
  <c r="AM331" i="1"/>
  <c r="AJ331" i="1"/>
  <c r="AB331" i="1"/>
  <c r="AA331" i="1"/>
  <c r="Y331" i="1"/>
  <c r="V331" i="1"/>
  <c r="U331" i="1"/>
  <c r="T331" i="1"/>
  <c r="P331" i="1"/>
  <c r="BV330" i="1"/>
  <c r="BR330" i="1"/>
  <c r="BQ330" i="1"/>
  <c r="BM330" i="1"/>
  <c r="BL330" i="1"/>
  <c r="BJ330" i="1"/>
  <c r="BI330" i="1"/>
  <c r="BG330" i="1"/>
  <c r="AY330" i="1"/>
  <c r="AX330" i="1"/>
  <c r="AW330" i="1"/>
  <c r="AO330" i="1"/>
  <c r="AN330" i="1"/>
  <c r="AM330" i="1"/>
  <c r="AJ330" i="1"/>
  <c r="AB330" i="1"/>
  <c r="AA330" i="1"/>
  <c r="Y330" i="1"/>
  <c r="V330" i="1"/>
  <c r="U330" i="1"/>
  <c r="T330" i="1"/>
  <c r="P330" i="1"/>
  <c r="BV329" i="1"/>
  <c r="BR329" i="1"/>
  <c r="BQ329" i="1"/>
  <c r="BM329" i="1"/>
  <c r="BL329" i="1"/>
  <c r="BJ329" i="1"/>
  <c r="BI329" i="1"/>
  <c r="BG329" i="1"/>
  <c r="AY329" i="1"/>
  <c r="AX329" i="1"/>
  <c r="AW329" i="1"/>
  <c r="AO329" i="1"/>
  <c r="AN329" i="1"/>
  <c r="AM329" i="1"/>
  <c r="AJ329" i="1"/>
  <c r="AB329" i="1"/>
  <c r="AA329" i="1"/>
  <c r="Y329" i="1"/>
  <c r="V329" i="1"/>
  <c r="U329" i="1"/>
  <c r="T329" i="1"/>
  <c r="P329" i="1"/>
  <c r="BV328" i="1"/>
  <c r="BR328" i="1"/>
  <c r="BQ328" i="1"/>
  <c r="BL328" i="1"/>
  <c r="BF328" i="1"/>
  <c r="BJ328" i="1" s="1"/>
  <c r="BJ327" i="1" s="1"/>
  <c r="BE328" i="1"/>
  <c r="BG328" i="1" s="1"/>
  <c r="BG327" i="1" s="1"/>
  <c r="BG324" i="1" s="1"/>
  <c r="BG323" i="1" s="1"/>
  <c r="BG322" i="1" s="1"/>
  <c r="AY328" i="1"/>
  <c r="AX328" i="1"/>
  <c r="AX327" i="1" s="1"/>
  <c r="AV328" i="1"/>
  <c r="AT328" i="1"/>
  <c r="AN328" i="1"/>
  <c r="AL328" i="1"/>
  <c r="AM328" i="1" s="1"/>
  <c r="AJ328" i="1"/>
  <c r="AI328" i="1"/>
  <c r="AO328" i="1" s="1"/>
  <c r="AB328" i="1"/>
  <c r="AB327" i="1" s="1"/>
  <c r="AB324" i="1" s="1"/>
  <c r="AA328" i="1"/>
  <c r="Y328" i="1"/>
  <c r="V328" i="1"/>
  <c r="U328" i="1"/>
  <c r="T328" i="1"/>
  <c r="P328" i="1"/>
  <c r="CD327" i="1"/>
  <c r="CD324" i="1" s="1"/>
  <c r="BP327" i="1"/>
  <c r="BO327" i="1"/>
  <c r="BO324" i="1" s="1"/>
  <c r="BO323" i="1" s="1"/>
  <c r="BO322" i="1" s="1"/>
  <c r="BN327" i="1"/>
  <c r="BN324" i="1" s="1"/>
  <c r="BN323" i="1" s="1"/>
  <c r="BL327" i="1"/>
  <c r="BL324" i="1" s="1"/>
  <c r="BL323" i="1" s="1"/>
  <c r="BK327" i="1"/>
  <c r="BK324" i="1" s="1"/>
  <c r="BK323" i="1" s="1"/>
  <c r="BH327" i="1"/>
  <c r="BH324" i="1" s="1"/>
  <c r="BF327" i="1"/>
  <c r="BD327" i="1"/>
  <c r="BC327" i="1"/>
  <c r="BC324" i="1" s="1"/>
  <c r="BC323" i="1" s="1"/>
  <c r="BB327" i="1"/>
  <c r="BB324" i="1" s="1"/>
  <c r="BB323" i="1" s="1"/>
  <c r="BB322" i="1" s="1"/>
  <c r="BA327" i="1"/>
  <c r="AZ327" i="1"/>
  <c r="AZ324" i="1" s="1"/>
  <c r="AZ323" i="1" s="1"/>
  <c r="AZ322" i="1" s="1"/>
  <c r="AY327" i="1"/>
  <c r="AY324" i="1" s="1"/>
  <c r="AY323" i="1" s="1"/>
  <c r="AY322" i="1" s="1"/>
  <c r="AU327" i="1"/>
  <c r="AT327" i="1"/>
  <c r="AM327" i="1"/>
  <c r="AL327" i="1"/>
  <c r="AN327" i="1" s="1"/>
  <c r="AK327" i="1"/>
  <c r="AJ327" i="1"/>
  <c r="AJ324" i="1" s="1"/>
  <c r="AJ323" i="1" s="1"/>
  <c r="AI327" i="1"/>
  <c r="AH327" i="1"/>
  <c r="AG327" i="1"/>
  <c r="AF327" i="1"/>
  <c r="AF324" i="1" s="1"/>
  <c r="AE327" i="1"/>
  <c r="AD327" i="1"/>
  <c r="AC327" i="1"/>
  <c r="AA327" i="1"/>
  <c r="AA324" i="1" s="1"/>
  <c r="AA323" i="1" s="1"/>
  <c r="Z327" i="1"/>
  <c r="Z324" i="1" s="1"/>
  <c r="Z323" i="1" s="1"/>
  <c r="Y327" i="1"/>
  <c r="V327" i="1"/>
  <c r="U327" i="1"/>
  <c r="T327" i="1"/>
  <c r="P327" i="1"/>
  <c r="BV326" i="1"/>
  <c r="BR326" i="1"/>
  <c r="BQ326" i="1"/>
  <c r="AO326" i="1"/>
  <c r="AN326" i="1"/>
  <c r="AM326" i="1"/>
  <c r="Y326" i="1"/>
  <c r="V326" i="1"/>
  <c r="U326" i="1"/>
  <c r="T326" i="1"/>
  <c r="P326" i="1"/>
  <c r="BV325" i="1"/>
  <c r="BR325" i="1"/>
  <c r="BQ325" i="1"/>
  <c r="AO325" i="1"/>
  <c r="AN325" i="1"/>
  <c r="AM325" i="1"/>
  <c r="Y325" i="1"/>
  <c r="V325" i="1"/>
  <c r="U325" i="1"/>
  <c r="T325" i="1"/>
  <c r="P325" i="1"/>
  <c r="BP324" i="1"/>
  <c r="BJ324" i="1"/>
  <c r="BJ323" i="1" s="1"/>
  <c r="BF324" i="1"/>
  <c r="BD324" i="1"/>
  <c r="BA324" i="1"/>
  <c r="BA323" i="1" s="1"/>
  <c r="BA322" i="1" s="1"/>
  <c r="AX324" i="1"/>
  <c r="AX323" i="1" s="1"/>
  <c r="AU324" i="1"/>
  <c r="AT324" i="1"/>
  <c r="AK324" i="1"/>
  <c r="AK323" i="1" s="1"/>
  <c r="AK322" i="1" s="1"/>
  <c r="AH324" i="1"/>
  <c r="AH323" i="1" s="1"/>
  <c r="AG324" i="1"/>
  <c r="AG323" i="1" s="1"/>
  <c r="AG322" i="1" s="1"/>
  <c r="AE324" i="1"/>
  <c r="AD324" i="1"/>
  <c r="AC324" i="1"/>
  <c r="Y324" i="1"/>
  <c r="V324" i="1"/>
  <c r="U324" i="1"/>
  <c r="T324" i="1"/>
  <c r="P324" i="1"/>
  <c r="P323" i="1" s="1"/>
  <c r="O324" i="1"/>
  <c r="N324" i="1"/>
  <c r="M324" i="1"/>
  <c r="M323" i="1" s="1"/>
  <c r="L324" i="1"/>
  <c r="K324" i="1"/>
  <c r="J324" i="1"/>
  <c r="I324" i="1"/>
  <c r="CD323" i="1"/>
  <c r="CD322" i="1" s="1"/>
  <c r="BP323" i="1"/>
  <c r="BH323" i="1"/>
  <c r="BF323" i="1"/>
  <c r="BD323" i="1"/>
  <c r="BD322" i="1" s="1"/>
  <c r="AU323" i="1"/>
  <c r="AT323" i="1"/>
  <c r="AF323" i="1"/>
  <c r="AF322" i="1" s="1"/>
  <c r="AE323" i="1"/>
  <c r="AD323" i="1"/>
  <c r="AC323" i="1"/>
  <c r="AC322" i="1" s="1"/>
  <c r="AB323" i="1"/>
  <c r="X323" i="1"/>
  <c r="S323" i="1"/>
  <c r="Q323" i="1"/>
  <c r="O323" i="1"/>
  <c r="N323" i="1"/>
  <c r="L323" i="1"/>
  <c r="K323" i="1"/>
  <c r="K322" i="1" s="1"/>
  <c r="J323" i="1"/>
  <c r="I323" i="1"/>
  <c r="BF322" i="1"/>
  <c r="BC322" i="1"/>
  <c r="AU322" i="1"/>
  <c r="AT322" i="1"/>
  <c r="AD322" i="1"/>
  <c r="P322" i="1"/>
  <c r="BQ320" i="1"/>
  <c r="BJ320" i="1"/>
  <c r="BI320" i="1"/>
  <c r="BH320" i="1"/>
  <c r="BV320" i="1" s="1"/>
  <c r="AY320" i="1"/>
  <c r="AX320" i="1"/>
  <c r="AV320" i="1"/>
  <c r="AW320" i="1" s="1"/>
  <c r="AO320" i="1"/>
  <c r="AN320" i="1"/>
  <c r="AM320" i="1"/>
  <c r="AH320" i="1"/>
  <c r="AJ320" i="1" s="1"/>
  <c r="AB320" i="1"/>
  <c r="AA320" i="1"/>
  <c r="X320" i="1"/>
  <c r="Y320" i="1" s="1"/>
  <c r="T320" i="1"/>
  <c r="S320" i="1"/>
  <c r="U320" i="1" s="1"/>
  <c r="M320" i="1"/>
  <c r="N320" i="1" s="1"/>
  <c r="BV319" i="1"/>
  <c r="BP319" i="1"/>
  <c r="BL319" i="1"/>
  <c r="BJ319" i="1"/>
  <c r="AY319" i="1"/>
  <c r="AX319" i="1"/>
  <c r="AV319" i="1"/>
  <c r="AO319" i="1"/>
  <c r="AN319" i="1"/>
  <c r="AM319" i="1"/>
  <c r="AJ319" i="1"/>
  <c r="AH319" i="1"/>
  <c r="AB319" i="1"/>
  <c r="AA319" i="1"/>
  <c r="X319" i="1"/>
  <c r="T319" i="1"/>
  <c r="S319" i="1"/>
  <c r="Y319" i="1" s="1"/>
  <c r="N319" i="1"/>
  <c r="P319" i="1" s="1"/>
  <c r="M319" i="1"/>
  <c r="BV318" i="1"/>
  <c r="BQ318" i="1"/>
  <c r="BL318" i="1"/>
  <c r="BJ318" i="1"/>
  <c r="BI318" i="1"/>
  <c r="AY318" i="1"/>
  <c r="AX318" i="1"/>
  <c r="AW318" i="1"/>
  <c r="AV318" i="1"/>
  <c r="BR318" i="1" s="1"/>
  <c r="AO318" i="1"/>
  <c r="AN318" i="1"/>
  <c r="AM318" i="1"/>
  <c r="AA318" i="1"/>
  <c r="Z318" i="1"/>
  <c r="AH318" i="1" s="1"/>
  <c r="AJ318" i="1" s="1"/>
  <c r="X318" i="1"/>
  <c r="Y318" i="1" s="1"/>
  <c r="U318" i="1"/>
  <c r="T318" i="1"/>
  <c r="S318" i="1"/>
  <c r="M318" i="1"/>
  <c r="N318" i="1" s="1"/>
  <c r="AT317" i="1"/>
  <c r="AO317" i="1"/>
  <c r="AN317" i="1"/>
  <c r="AM317" i="1"/>
  <c r="AJ317" i="1"/>
  <c r="AI317" i="1"/>
  <c r="AH317" i="1"/>
  <c r="AB317" i="1"/>
  <c r="AA317" i="1"/>
  <c r="Y317" i="1"/>
  <c r="X317" i="1"/>
  <c r="V317" i="1"/>
  <c r="U317" i="1"/>
  <c r="T317" i="1"/>
  <c r="P317" i="1"/>
  <c r="BQ316" i="1"/>
  <c r="BJ316" i="1"/>
  <c r="BH316" i="1"/>
  <c r="BL316" i="1" s="1"/>
  <c r="AY316" i="1"/>
  <c r="AX316" i="1"/>
  <c r="AW316" i="1"/>
  <c r="AV316" i="1"/>
  <c r="AT316" i="1"/>
  <c r="AO316" i="1"/>
  <c r="AL316" i="1"/>
  <c r="AN316" i="1" s="1"/>
  <c r="AJ316" i="1"/>
  <c r="AH316" i="1"/>
  <c r="AB316" i="1"/>
  <c r="AA316" i="1"/>
  <c r="X316" i="1"/>
  <c r="Y316" i="1" s="1"/>
  <c r="U316" i="1"/>
  <c r="S316" i="1"/>
  <c r="T316" i="1" s="1"/>
  <c r="N316" i="1"/>
  <c r="M316" i="1"/>
  <c r="BQ315" i="1"/>
  <c r="BJ315" i="1"/>
  <c r="BF315" i="1"/>
  <c r="AT315" i="1"/>
  <c r="AO315" i="1"/>
  <c r="AN315" i="1"/>
  <c r="AM315" i="1"/>
  <c r="AL315" i="1"/>
  <c r="AI315" i="1"/>
  <c r="AH315" i="1"/>
  <c r="AJ315" i="1" s="1"/>
  <c r="AB315" i="1"/>
  <c r="AA315" i="1"/>
  <c r="X315" i="1"/>
  <c r="Y315" i="1" s="1"/>
  <c r="U315" i="1"/>
  <c r="T315" i="1"/>
  <c r="S315" i="1"/>
  <c r="M315" i="1"/>
  <c r="N315" i="1" s="1"/>
  <c r="BV314" i="1"/>
  <c r="BQ314" i="1"/>
  <c r="BL314" i="1"/>
  <c r="BJ314" i="1"/>
  <c r="BI314" i="1"/>
  <c r="BH314" i="1"/>
  <c r="AY314" i="1"/>
  <c r="AV314" i="1"/>
  <c r="AN314" i="1"/>
  <c r="AM314" i="1"/>
  <c r="AJ314" i="1"/>
  <c r="AH314" i="1"/>
  <c r="AB314" i="1"/>
  <c r="AA314" i="1"/>
  <c r="Z314" i="1"/>
  <c r="AX314" i="1" s="1"/>
  <c r="Y314" i="1"/>
  <c r="V314" i="1"/>
  <c r="U314" i="1"/>
  <c r="T314" i="1"/>
  <c r="P314" i="1"/>
  <c r="M314" i="1"/>
  <c r="BV313" i="1"/>
  <c r="BR313" i="1"/>
  <c r="BQ313" i="1"/>
  <c r="BL313" i="1"/>
  <c r="BJ313" i="1"/>
  <c r="BH313" i="1"/>
  <c r="AY313" i="1"/>
  <c r="AX313" i="1"/>
  <c r="AV313" i="1"/>
  <c r="AO313" i="1"/>
  <c r="AN313" i="1"/>
  <c r="AM313" i="1"/>
  <c r="AJ313" i="1"/>
  <c r="AI313" i="1"/>
  <c r="AH313" i="1"/>
  <c r="AA313" i="1"/>
  <c r="Y313" i="1"/>
  <c r="X313" i="1"/>
  <c r="S313" i="1"/>
  <c r="P313" i="1"/>
  <c r="O313" i="1"/>
  <c r="N313" i="1"/>
  <c r="M313" i="1"/>
  <c r="BQ312" i="1"/>
  <c r="BH312" i="1"/>
  <c r="BG312" i="1"/>
  <c r="AY312" i="1"/>
  <c r="AX312" i="1"/>
  <c r="AV312" i="1"/>
  <c r="BF312" i="1" s="1"/>
  <c r="BJ312" i="1" s="1"/>
  <c r="AN312" i="1"/>
  <c r="AJ312" i="1"/>
  <c r="AI312" i="1"/>
  <c r="AH312" i="1"/>
  <c r="AA312" i="1"/>
  <c r="U312" i="1"/>
  <c r="O312" i="1"/>
  <c r="S312" i="1" s="1"/>
  <c r="N312" i="1"/>
  <c r="P312" i="1" s="1"/>
  <c r="M312" i="1"/>
  <c r="BQ311" i="1"/>
  <c r="BJ311" i="1"/>
  <c r="BI311" i="1"/>
  <c r="BH311" i="1"/>
  <c r="BL311" i="1" s="1"/>
  <c r="AY311" i="1"/>
  <c r="AX311" i="1"/>
  <c r="AW311" i="1"/>
  <c r="AV311" i="1"/>
  <c r="BV311" i="1" s="1"/>
  <c r="AT311" i="1"/>
  <c r="AL311" i="1"/>
  <c r="AI311" i="1"/>
  <c r="AO311" i="1" s="1"/>
  <c r="AH311" i="1"/>
  <c r="AB311" i="1"/>
  <c r="AA311" i="1"/>
  <c r="Y311" i="1"/>
  <c r="X311" i="1"/>
  <c r="U311" i="1"/>
  <c r="T311" i="1"/>
  <c r="S311" i="1"/>
  <c r="M311" i="1"/>
  <c r="N311" i="1" s="1"/>
  <c r="BP310" i="1"/>
  <c r="BP308" i="1" s="1"/>
  <c r="AX310" i="1"/>
  <c r="AV310" i="1"/>
  <c r="AT310" i="1"/>
  <c r="AL310" i="1"/>
  <c r="AN310" i="1" s="1"/>
  <c r="AJ310" i="1"/>
  <c r="AI310" i="1"/>
  <c r="AO310" i="1" s="1"/>
  <c r="AH310" i="1"/>
  <c r="AB310" i="1"/>
  <c r="AA310" i="1"/>
  <c r="AA308" i="1" s="1"/>
  <c r="Y310" i="1"/>
  <c r="X310" i="1"/>
  <c r="V310" i="1"/>
  <c r="U310" i="1"/>
  <c r="S310" i="1"/>
  <c r="T310" i="1" s="1"/>
  <c r="P310" i="1"/>
  <c r="O310" i="1"/>
  <c r="N310" i="1"/>
  <c r="M310" i="1"/>
  <c r="BR309" i="1"/>
  <c r="BQ309" i="1"/>
  <c r="BM309" i="1"/>
  <c r="BG309" i="1"/>
  <c r="BF309" i="1"/>
  <c r="AY309" i="1"/>
  <c r="AX309" i="1"/>
  <c r="AW309" i="1"/>
  <c r="AV309" i="1"/>
  <c r="AO309" i="1"/>
  <c r="AN309" i="1"/>
  <c r="AM309" i="1"/>
  <c r="AL309" i="1"/>
  <c r="AI309" i="1"/>
  <c r="AH309" i="1"/>
  <c r="AJ309" i="1" s="1"/>
  <c r="AB309" i="1"/>
  <c r="AA309" i="1"/>
  <c r="X309" i="1"/>
  <c r="Y309" i="1" s="1"/>
  <c r="V309" i="1"/>
  <c r="U309" i="1"/>
  <c r="T309" i="1"/>
  <c r="P309" i="1"/>
  <c r="CD308" i="1"/>
  <c r="BO308" i="1"/>
  <c r="BN308" i="1"/>
  <c r="BE308" i="1"/>
  <c r="BD308" i="1"/>
  <c r="BD300" i="1" s="1"/>
  <c r="BD299" i="1" s="1"/>
  <c r="BC308" i="1"/>
  <c r="BB308" i="1"/>
  <c r="BA308" i="1"/>
  <c r="AZ308" i="1"/>
  <c r="AU308" i="1"/>
  <c r="AK308" i="1"/>
  <c r="AI308" i="1"/>
  <c r="AO308" i="1" s="1"/>
  <c r="AG308" i="1"/>
  <c r="AF308" i="1"/>
  <c r="AE308" i="1"/>
  <c r="AD308" i="1"/>
  <c r="AC308" i="1"/>
  <c r="Z308" i="1"/>
  <c r="Q308" i="1"/>
  <c r="M308" i="1"/>
  <c r="L308" i="1"/>
  <c r="K308" i="1"/>
  <c r="I308" i="1"/>
  <c r="BV307" i="1"/>
  <c r="BR307" i="1"/>
  <c r="BQ307" i="1"/>
  <c r="BM307" i="1"/>
  <c r="BL307" i="1"/>
  <c r="BJ307" i="1"/>
  <c r="BI307" i="1"/>
  <c r="BG307" i="1"/>
  <c r="AY307" i="1"/>
  <c r="AM307" i="1"/>
  <c r="Z307" i="1"/>
  <c r="Y307" i="1"/>
  <c r="V307" i="1"/>
  <c r="U307" i="1"/>
  <c r="T307" i="1"/>
  <c r="P307" i="1"/>
  <c r="BQ306" i="1"/>
  <c r="BJ306" i="1"/>
  <c r="BI306" i="1"/>
  <c r="BH306" i="1"/>
  <c r="BG306" i="1"/>
  <c r="BG301" i="1" s="1"/>
  <c r="AY306" i="1"/>
  <c r="AX306" i="1"/>
  <c r="AV306" i="1"/>
  <c r="BM306" i="1" s="1"/>
  <c r="AO306" i="1"/>
  <c r="AN306" i="1"/>
  <c r="AM306" i="1"/>
  <c r="AH306" i="1"/>
  <c r="AJ306" i="1" s="1"/>
  <c r="AB306" i="1"/>
  <c r="AA306" i="1"/>
  <c r="AA301" i="1" s="1"/>
  <c r="Y306" i="1"/>
  <c r="V306" i="1"/>
  <c r="U306" i="1"/>
  <c r="T306" i="1"/>
  <c r="S306" i="1"/>
  <c r="X306" i="1" s="1"/>
  <c r="P306" i="1"/>
  <c r="M306" i="1"/>
  <c r="N306" i="1" s="1"/>
  <c r="O306" i="1" s="1"/>
  <c r="BV305" i="1"/>
  <c r="BR305" i="1"/>
  <c r="BQ305" i="1"/>
  <c r="BL305" i="1"/>
  <c r="BJ305" i="1"/>
  <c r="BI305" i="1"/>
  <c r="BG305" i="1"/>
  <c r="AY305" i="1"/>
  <c r="AV305" i="1"/>
  <c r="AU305" i="1"/>
  <c r="AM305" i="1"/>
  <c r="Z305" i="1"/>
  <c r="Y305" i="1"/>
  <c r="V305" i="1"/>
  <c r="U305" i="1"/>
  <c r="T305" i="1"/>
  <c r="P305" i="1"/>
  <c r="BQ304" i="1"/>
  <c r="BM304" i="1"/>
  <c r="BI304" i="1"/>
  <c r="BI301" i="1" s="1"/>
  <c r="BF304" i="1"/>
  <c r="AY304" i="1"/>
  <c r="AY301" i="1" s="1"/>
  <c r="AX304" i="1"/>
  <c r="AX301" i="1" s="1"/>
  <c r="AW304" i="1"/>
  <c r="AV304" i="1"/>
  <c r="BG304" i="1" s="1"/>
  <c r="AO304" i="1"/>
  <c r="AN304" i="1"/>
  <c r="AM304" i="1"/>
  <c r="AH304" i="1"/>
  <c r="AJ304" i="1" s="1"/>
  <c r="AJ301" i="1" s="1"/>
  <c r="AA304" i="1"/>
  <c r="X304" i="1"/>
  <c r="U304" i="1"/>
  <c r="T304" i="1"/>
  <c r="S304" i="1"/>
  <c r="AB304" i="1" s="1"/>
  <c r="AB301" i="1" s="1"/>
  <c r="P304" i="1"/>
  <c r="P301" i="1" s="1"/>
  <c r="N304" i="1"/>
  <c r="N301" i="1" s="1"/>
  <c r="M304" i="1"/>
  <c r="M301" i="1" s="1"/>
  <c r="BV303" i="1"/>
  <c r="BR303" i="1"/>
  <c r="BQ303" i="1"/>
  <c r="BM303" i="1"/>
  <c r="BL303" i="1"/>
  <c r="BJ303" i="1"/>
  <c r="BI303" i="1"/>
  <c r="BG303" i="1"/>
  <c r="AY303" i="1"/>
  <c r="AX303" i="1"/>
  <c r="AW303" i="1"/>
  <c r="AO303" i="1"/>
  <c r="AN303" i="1"/>
  <c r="AM303" i="1"/>
  <c r="AJ303" i="1"/>
  <c r="AB303" i="1"/>
  <c r="AA303" i="1"/>
  <c r="Y303" i="1"/>
  <c r="V303" i="1"/>
  <c r="U303" i="1"/>
  <c r="T303" i="1"/>
  <c r="P303" i="1"/>
  <c r="BV302" i="1"/>
  <c r="BR302" i="1"/>
  <c r="BQ302" i="1"/>
  <c r="BM302" i="1"/>
  <c r="BL302" i="1"/>
  <c r="BJ302" i="1"/>
  <c r="BI302" i="1"/>
  <c r="BG302" i="1"/>
  <c r="AY302" i="1"/>
  <c r="AX302" i="1"/>
  <c r="AW302" i="1"/>
  <c r="AO302" i="1"/>
  <c r="AN302" i="1"/>
  <c r="AM302" i="1"/>
  <c r="AJ302" i="1"/>
  <c r="AB302" i="1"/>
  <c r="AA302" i="1"/>
  <c r="Y302" i="1"/>
  <c r="V302" i="1"/>
  <c r="U302" i="1"/>
  <c r="T302" i="1"/>
  <c r="P302" i="1"/>
  <c r="CD301" i="1"/>
  <c r="CD300" i="1" s="1"/>
  <c r="BP301" i="1"/>
  <c r="BO301" i="1"/>
  <c r="BN301" i="1"/>
  <c r="BN300" i="1" s="1"/>
  <c r="BN299" i="1" s="1"/>
  <c r="BM301" i="1"/>
  <c r="BK301" i="1"/>
  <c r="BE301" i="1"/>
  <c r="BD301" i="1"/>
  <c r="BC301" i="1"/>
  <c r="BB301" i="1"/>
  <c r="BA301" i="1"/>
  <c r="BA300" i="1" s="1"/>
  <c r="BA299" i="1" s="1"/>
  <c r="AZ301" i="1"/>
  <c r="AZ300" i="1" s="1"/>
  <c r="AZ299" i="1" s="1"/>
  <c r="AV301" i="1"/>
  <c r="AU301" i="1"/>
  <c r="AT301" i="1"/>
  <c r="AL301" i="1"/>
  <c r="AK301" i="1"/>
  <c r="AI301" i="1"/>
  <c r="AO301" i="1" s="1"/>
  <c r="AH301" i="1"/>
  <c r="AG301" i="1"/>
  <c r="AF301" i="1"/>
  <c r="AE301" i="1"/>
  <c r="AD301" i="1"/>
  <c r="AC301" i="1"/>
  <c r="Z301" i="1"/>
  <c r="S301" i="1"/>
  <c r="Q301" i="1"/>
  <c r="Q300" i="1" s="1"/>
  <c r="Q299" i="1" s="1"/>
  <c r="L301" i="1"/>
  <c r="L300" i="1" s="1"/>
  <c r="L299" i="1" s="1"/>
  <c r="K301" i="1"/>
  <c r="K300" i="1" s="1"/>
  <c r="K299" i="1" s="1"/>
  <c r="I301" i="1"/>
  <c r="BO300" i="1"/>
  <c r="BO299" i="1" s="1"/>
  <c r="BE300" i="1"/>
  <c r="BE299" i="1" s="1"/>
  <c r="BC300" i="1"/>
  <c r="BC299" i="1" s="1"/>
  <c r="BB300" i="1"/>
  <c r="BB299" i="1" s="1"/>
  <c r="AU300" i="1"/>
  <c r="AI300" i="1"/>
  <c r="AG300" i="1"/>
  <c r="AF300" i="1"/>
  <c r="AE300" i="1"/>
  <c r="AD300" i="1"/>
  <c r="AD299" i="1" s="1"/>
  <c r="AC300" i="1"/>
  <c r="Z300" i="1"/>
  <c r="Z299" i="1" s="1"/>
  <c r="M300" i="1"/>
  <c r="I300" i="1"/>
  <c r="I299" i="1" s="1"/>
  <c r="CD299" i="1"/>
  <c r="AU299" i="1"/>
  <c r="AG299" i="1"/>
  <c r="AF299" i="1"/>
  <c r="AE299" i="1"/>
  <c r="AC299" i="1"/>
  <c r="M299" i="1"/>
  <c r="J299" i="1"/>
  <c r="BV298" i="1"/>
  <c r="BR298" i="1"/>
  <c r="BQ298" i="1"/>
  <c r="BM298" i="1"/>
  <c r="BL298" i="1"/>
  <c r="BJ298" i="1"/>
  <c r="BI298" i="1"/>
  <c r="BG298" i="1"/>
  <c r="AY298" i="1"/>
  <c r="AX298" i="1"/>
  <c r="AW298" i="1"/>
  <c r="AO298" i="1"/>
  <c r="AN298" i="1"/>
  <c r="AM298" i="1"/>
  <c r="AJ298" i="1"/>
  <c r="AB298" i="1"/>
  <c r="AA298" i="1"/>
  <c r="Y298" i="1"/>
  <c r="V298" i="1"/>
  <c r="U298" i="1"/>
  <c r="T298" i="1"/>
  <c r="P298" i="1"/>
  <c r="BV297" i="1"/>
  <c r="BR297" i="1"/>
  <c r="BQ297" i="1"/>
  <c r="BM297" i="1"/>
  <c r="BL297" i="1"/>
  <c r="BJ297" i="1"/>
  <c r="BI297" i="1"/>
  <c r="BG297" i="1"/>
  <c r="AY297" i="1"/>
  <c r="AX297" i="1"/>
  <c r="AM297" i="1"/>
  <c r="AB297" i="1"/>
  <c r="AA297" i="1"/>
  <c r="AH297" i="1" s="1"/>
  <c r="AJ297" i="1" s="1"/>
  <c r="Z297" i="1"/>
  <c r="AW297" i="1" s="1"/>
  <c r="Y297" i="1"/>
  <c r="V297" i="1"/>
  <c r="U297" i="1"/>
  <c r="T297" i="1"/>
  <c r="P297" i="1"/>
  <c r="BV296" i="1"/>
  <c r="BR296" i="1"/>
  <c r="BQ296" i="1"/>
  <c r="BM296" i="1"/>
  <c r="BL296" i="1"/>
  <c r="BJ296" i="1"/>
  <c r="BI296" i="1"/>
  <c r="BG296" i="1"/>
  <c r="AY296" i="1"/>
  <c r="AX296" i="1"/>
  <c r="AM296" i="1"/>
  <c r="AB296" i="1"/>
  <c r="AA296" i="1"/>
  <c r="AH296" i="1" s="1"/>
  <c r="AJ296" i="1" s="1"/>
  <c r="Z296" i="1"/>
  <c r="AW296" i="1" s="1"/>
  <c r="Y296" i="1"/>
  <c r="V296" i="1"/>
  <c r="U296" i="1"/>
  <c r="T296" i="1"/>
  <c r="Q296" i="1"/>
  <c r="P296" i="1"/>
  <c r="K296" i="1"/>
  <c r="I296" i="1"/>
  <c r="BV295" i="1"/>
  <c r="BR295" i="1"/>
  <c r="BQ295" i="1"/>
  <c r="BJ295" i="1"/>
  <c r="BH295" i="1"/>
  <c r="BK295" i="1" s="1"/>
  <c r="AY295" i="1"/>
  <c r="AX295" i="1"/>
  <c r="AV295" i="1"/>
  <c r="AO295" i="1"/>
  <c r="AN295" i="1"/>
  <c r="AJ295" i="1"/>
  <c r="AI295" i="1"/>
  <c r="AM295" i="1" s="1"/>
  <c r="AH295" i="1"/>
  <c r="AA295" i="1"/>
  <c r="X295" i="1"/>
  <c r="O295" i="1"/>
  <c r="S295" i="1" s="1"/>
  <c r="M295" i="1"/>
  <c r="N295" i="1" s="1"/>
  <c r="P295" i="1" s="1"/>
  <c r="BV294" i="1"/>
  <c r="BR294" i="1"/>
  <c r="BQ294" i="1"/>
  <c r="BM294" i="1"/>
  <c r="BL294" i="1"/>
  <c r="BJ294" i="1"/>
  <c r="BI294" i="1"/>
  <c r="BG294" i="1"/>
  <c r="AY294" i="1"/>
  <c r="AX294" i="1"/>
  <c r="AM294" i="1"/>
  <c r="AH294" i="1"/>
  <c r="AJ294" i="1" s="1"/>
  <c r="AB294" i="1"/>
  <c r="AA294" i="1"/>
  <c r="Z294" i="1"/>
  <c r="AW294" i="1" s="1"/>
  <c r="Y294" i="1"/>
  <c r="V294" i="1"/>
  <c r="U294" i="1"/>
  <c r="T294" i="1"/>
  <c r="P294" i="1"/>
  <c r="BV293" i="1"/>
  <c r="BP293" i="1"/>
  <c r="BM293" i="1"/>
  <c r="BL293" i="1"/>
  <c r="BJ293" i="1"/>
  <c r="BI293" i="1"/>
  <c r="BG293" i="1"/>
  <c r="AY293" i="1"/>
  <c r="AY291" i="1" s="1"/>
  <c r="AY290" i="1" s="1"/>
  <c r="AW293" i="1"/>
  <c r="AN293" i="1"/>
  <c r="AM293" i="1"/>
  <c r="AJ293" i="1"/>
  <c r="AH293" i="1"/>
  <c r="AB293" i="1"/>
  <c r="AA293" i="1"/>
  <c r="Z293" i="1"/>
  <c r="AX293" i="1" s="1"/>
  <c r="AX291" i="1" s="1"/>
  <c r="AX290" i="1" s="1"/>
  <c r="Y293" i="1"/>
  <c r="V293" i="1"/>
  <c r="U293" i="1"/>
  <c r="T293" i="1"/>
  <c r="P293" i="1"/>
  <c r="BV292" i="1"/>
  <c r="BR292" i="1"/>
  <c r="BQ292" i="1"/>
  <c r="BM292" i="1"/>
  <c r="BL292" i="1"/>
  <c r="BJ292" i="1"/>
  <c r="BI292" i="1"/>
  <c r="BG292" i="1"/>
  <c r="AY292" i="1"/>
  <c r="AW292" i="1"/>
  <c r="AO292" i="1"/>
  <c r="AN292" i="1"/>
  <c r="AM292" i="1"/>
  <c r="AH292" i="1"/>
  <c r="AJ292" i="1" s="1"/>
  <c r="AB292" i="1"/>
  <c r="AA292" i="1"/>
  <c r="Z292" i="1"/>
  <c r="AX292" i="1" s="1"/>
  <c r="Y292" i="1"/>
  <c r="V292" i="1"/>
  <c r="U292" i="1"/>
  <c r="T292" i="1"/>
  <c r="P292" i="1"/>
  <c r="CD291" i="1"/>
  <c r="BP291" i="1"/>
  <c r="BP290" i="1" s="1"/>
  <c r="BO291" i="1"/>
  <c r="BN291" i="1"/>
  <c r="BH291" i="1"/>
  <c r="BF291" i="1"/>
  <c r="BF290" i="1" s="1"/>
  <c r="BD291" i="1"/>
  <c r="BC291" i="1"/>
  <c r="BB291" i="1"/>
  <c r="BA291" i="1"/>
  <c r="AZ291" i="1"/>
  <c r="AZ290" i="1" s="1"/>
  <c r="AU291" i="1"/>
  <c r="AT291" i="1"/>
  <c r="AT290" i="1" s="1"/>
  <c r="AT280" i="1" s="1"/>
  <c r="AO291" i="1"/>
  <c r="AN291" i="1"/>
  <c r="AM291" i="1"/>
  <c r="AL291" i="1"/>
  <c r="AK291" i="1"/>
  <c r="AJ291" i="1"/>
  <c r="AJ290" i="1" s="1"/>
  <c r="AJ280" i="1" s="1"/>
  <c r="AI291" i="1"/>
  <c r="AH291" i="1"/>
  <c r="AG291" i="1"/>
  <c r="AF291" i="1"/>
  <c r="AF290" i="1" s="1"/>
  <c r="AF280" i="1" s="1"/>
  <c r="AE291" i="1"/>
  <c r="AD291" i="1"/>
  <c r="AD290" i="1" s="1"/>
  <c r="AD280" i="1" s="1"/>
  <c r="AC291" i="1"/>
  <c r="AC290" i="1" s="1"/>
  <c r="AA291" i="1"/>
  <c r="Z291" i="1"/>
  <c r="Q291" i="1"/>
  <c r="P291" i="1"/>
  <c r="O291" i="1"/>
  <c r="O290" i="1" s="1"/>
  <c r="N291" i="1"/>
  <c r="M291" i="1"/>
  <c r="L291" i="1"/>
  <c r="K291" i="1"/>
  <c r="J291" i="1"/>
  <c r="J290" i="1" s="1"/>
  <c r="J280" i="1" s="1"/>
  <c r="I291" i="1"/>
  <c r="CD290" i="1"/>
  <c r="BO290" i="1"/>
  <c r="BN290" i="1"/>
  <c r="BH290" i="1"/>
  <c r="BD290" i="1"/>
  <c r="BC290" i="1"/>
  <c r="BB290" i="1"/>
  <c r="BA290" i="1"/>
  <c r="AU290" i="1"/>
  <c r="AN290" i="1"/>
  <c r="AL290" i="1"/>
  <c r="AL280" i="1" s="1"/>
  <c r="AK290" i="1"/>
  <c r="AI290" i="1"/>
  <c r="AH290" i="1"/>
  <c r="AG290" i="1"/>
  <c r="AE290" i="1"/>
  <c r="AA290" i="1"/>
  <c r="Z290" i="1"/>
  <c r="Z280" i="1" s="1"/>
  <c r="Q290" i="1"/>
  <c r="N290" i="1"/>
  <c r="M290" i="1"/>
  <c r="L290" i="1"/>
  <c r="L280" i="1" s="1"/>
  <c r="K290" i="1"/>
  <c r="I290" i="1"/>
  <c r="BQ289" i="1"/>
  <c r="BF289" i="1"/>
  <c r="BE289" i="1"/>
  <c r="BA289" i="1"/>
  <c r="AZ289" i="1"/>
  <c r="AY289" i="1"/>
  <c r="AX289" i="1"/>
  <c r="AU289" i="1" s="1"/>
  <c r="AF289" i="1"/>
  <c r="AE289" i="1"/>
  <c r="AD289" i="1"/>
  <c r="AC289" i="1"/>
  <c r="AJ289" i="1" s="1"/>
  <c r="AB289" i="1"/>
  <c r="AI289" i="1" s="1"/>
  <c r="AO289" i="1" s="1"/>
  <c r="AW289" i="1" s="1"/>
  <c r="BD289" i="1" s="1"/>
  <c r="AA289" i="1"/>
  <c r="AH289" i="1" s="1"/>
  <c r="Z289" i="1"/>
  <c r="AG289" i="1" s="1"/>
  <c r="Y289" i="1"/>
  <c r="V289" i="1"/>
  <c r="U289" i="1"/>
  <c r="T289" i="1"/>
  <c r="P289" i="1"/>
  <c r="BQ288" i="1"/>
  <c r="BA288" i="1"/>
  <c r="AZ288" i="1"/>
  <c r="AY288" i="1"/>
  <c r="BF288" i="1" s="1"/>
  <c r="AX288" i="1"/>
  <c r="AW288" i="1"/>
  <c r="BD288" i="1" s="1"/>
  <c r="AG288" i="1"/>
  <c r="AF288" i="1"/>
  <c r="AE288" i="1"/>
  <c r="AD288" i="1"/>
  <c r="AL288" i="1" s="1"/>
  <c r="AB288" i="1"/>
  <c r="AI288" i="1" s="1"/>
  <c r="AO288" i="1" s="1"/>
  <c r="Z288" i="1"/>
  <c r="Y288" i="1"/>
  <c r="V288" i="1"/>
  <c r="AC288" i="1" s="1"/>
  <c r="AJ288" i="1" s="1"/>
  <c r="U288" i="1"/>
  <c r="T288" i="1"/>
  <c r="AA288" i="1" s="1"/>
  <c r="AH288" i="1" s="1"/>
  <c r="P288" i="1"/>
  <c r="BQ287" i="1"/>
  <c r="BA287" i="1"/>
  <c r="BA285" i="1" s="1"/>
  <c r="BA284" i="1" s="1"/>
  <c r="AZ287" i="1"/>
  <c r="AZ285" i="1" s="1"/>
  <c r="AZ284" i="1" s="1"/>
  <c r="AY287" i="1"/>
  <c r="AY285" i="1" s="1"/>
  <c r="AY284" i="1" s="1"/>
  <c r="AX287" i="1"/>
  <c r="AU287" i="1" s="1"/>
  <c r="AL287" i="1"/>
  <c r="AK287" i="1"/>
  <c r="AJ287" i="1"/>
  <c r="AE287" i="1"/>
  <c r="AD287" i="1"/>
  <c r="Z287" i="1"/>
  <c r="AG287" i="1" s="1"/>
  <c r="Y287" i="1"/>
  <c r="AF287" i="1" s="1"/>
  <c r="V287" i="1"/>
  <c r="AC287" i="1" s="1"/>
  <c r="U287" i="1"/>
  <c r="AB287" i="1" s="1"/>
  <c r="AI287" i="1" s="1"/>
  <c r="AO287" i="1" s="1"/>
  <c r="AW287" i="1" s="1"/>
  <c r="BD287" i="1" s="1"/>
  <c r="T287" i="1"/>
  <c r="AA287" i="1" s="1"/>
  <c r="AH287" i="1" s="1"/>
  <c r="P287" i="1"/>
  <c r="BQ286" i="1"/>
  <c r="BF286" i="1"/>
  <c r="BE286" i="1"/>
  <c r="BA286" i="1"/>
  <c r="AZ286" i="1"/>
  <c r="AY286" i="1"/>
  <c r="AX286" i="1"/>
  <c r="AU286" i="1" s="1"/>
  <c r="AF286" i="1"/>
  <c r="AE286" i="1"/>
  <c r="AD286" i="1"/>
  <c r="AC286" i="1"/>
  <c r="AJ286" i="1" s="1"/>
  <c r="AB286" i="1"/>
  <c r="AI286" i="1" s="1"/>
  <c r="AO286" i="1" s="1"/>
  <c r="AW286" i="1" s="1"/>
  <c r="BD286" i="1" s="1"/>
  <c r="BD285" i="1" s="1"/>
  <c r="BD284" i="1" s="1"/>
  <c r="AA286" i="1"/>
  <c r="AH286" i="1" s="1"/>
  <c r="Z286" i="1"/>
  <c r="AG286" i="1" s="1"/>
  <c r="Y286" i="1"/>
  <c r="V286" i="1"/>
  <c r="U286" i="1"/>
  <c r="T286" i="1"/>
  <c r="P286" i="1"/>
  <c r="CD285" i="1"/>
  <c r="BQ285" i="1"/>
  <c r="BP285" i="1"/>
  <c r="BP284" i="1" s="1"/>
  <c r="BP280" i="1" s="1"/>
  <c r="BO285" i="1"/>
  <c r="BN285" i="1"/>
  <c r="BM285" i="1"/>
  <c r="BL285" i="1"/>
  <c r="BK285" i="1"/>
  <c r="BH285" i="1"/>
  <c r="AO285" i="1"/>
  <c r="AF285" i="1"/>
  <c r="AE285" i="1"/>
  <c r="AD285" i="1"/>
  <c r="AK285" i="1" s="1"/>
  <c r="AC285" i="1"/>
  <c r="AJ285" i="1" s="1"/>
  <c r="AB285" i="1"/>
  <c r="AI285" i="1" s="1"/>
  <c r="AA285" i="1"/>
  <c r="AH285" i="1" s="1"/>
  <c r="Z285" i="1"/>
  <c r="AG285" i="1" s="1"/>
  <c r="Y285" i="1"/>
  <c r="V285" i="1"/>
  <c r="U285" i="1"/>
  <c r="T285" i="1"/>
  <c r="P285" i="1"/>
  <c r="CD284" i="1"/>
  <c r="BQ284" i="1"/>
  <c r="BO284" i="1"/>
  <c r="BN284" i="1"/>
  <c r="BM284" i="1"/>
  <c r="BL284" i="1"/>
  <c r="BK284" i="1"/>
  <c r="BH284" i="1"/>
  <c r="AO284" i="1"/>
  <c r="AF284" i="1"/>
  <c r="AE284" i="1"/>
  <c r="AD284" i="1"/>
  <c r="AK284" i="1" s="1"/>
  <c r="AC284" i="1"/>
  <c r="AJ284" i="1" s="1"/>
  <c r="Z284" i="1"/>
  <c r="AG284" i="1" s="1"/>
  <c r="Y284" i="1"/>
  <c r="V284" i="1"/>
  <c r="Q284" i="1"/>
  <c r="K284" i="1"/>
  <c r="U284" i="1" s="1"/>
  <c r="AB284" i="1" s="1"/>
  <c r="AI284" i="1" s="1"/>
  <c r="I284" i="1"/>
  <c r="BQ283" i="1"/>
  <c r="BJ283" i="1"/>
  <c r="BH283" i="1"/>
  <c r="BH282" i="1" s="1"/>
  <c r="BA283" i="1"/>
  <c r="BA282" i="1" s="1"/>
  <c r="BA281" i="1" s="1"/>
  <c r="BA280" i="1" s="1"/>
  <c r="AZ283" i="1"/>
  <c r="AZ282" i="1" s="1"/>
  <c r="AZ281" i="1" s="1"/>
  <c r="AY283" i="1"/>
  <c r="AY282" i="1" s="1"/>
  <c r="AY281" i="1" s="1"/>
  <c r="AY280" i="1" s="1"/>
  <c r="AX283" i="1"/>
  <c r="BE283" i="1" s="1"/>
  <c r="AJ283" i="1"/>
  <c r="AI283" i="1"/>
  <c r="AO283" i="1" s="1"/>
  <c r="AW283" i="1" s="1"/>
  <c r="AH283" i="1"/>
  <c r="AE283" i="1"/>
  <c r="AD283" i="1"/>
  <c r="AL283" i="1" s="1"/>
  <c r="Z283" i="1"/>
  <c r="AG283" i="1" s="1"/>
  <c r="Y283" i="1"/>
  <c r="AF283" i="1" s="1"/>
  <c r="V283" i="1"/>
  <c r="AC283" i="1" s="1"/>
  <c r="U283" i="1"/>
  <c r="AB283" i="1" s="1"/>
  <c r="T283" i="1"/>
  <c r="AA283" i="1" s="1"/>
  <c r="P283" i="1"/>
  <c r="CD282" i="1"/>
  <c r="BP282" i="1"/>
  <c r="BQ282" i="1" s="1"/>
  <c r="BO282" i="1"/>
  <c r="BN282" i="1"/>
  <c r="BM282" i="1"/>
  <c r="BL282" i="1"/>
  <c r="BK282" i="1"/>
  <c r="BJ282" i="1"/>
  <c r="BF282" i="1"/>
  <c r="AX282" i="1"/>
  <c r="AU282" i="1"/>
  <c r="AJ282" i="1"/>
  <c r="AI282" i="1"/>
  <c r="AO282" i="1" s="1"/>
  <c r="AH282" i="1"/>
  <c r="AE282" i="1"/>
  <c r="AD282" i="1"/>
  <c r="AL282" i="1" s="1"/>
  <c r="Z282" i="1"/>
  <c r="AG282" i="1" s="1"/>
  <c r="Y282" i="1"/>
  <c r="AF282" i="1" s="1"/>
  <c r="V282" i="1"/>
  <c r="AC282" i="1" s="1"/>
  <c r="U282" i="1"/>
  <c r="AB282" i="1" s="1"/>
  <c r="T282" i="1"/>
  <c r="AA282" i="1" s="1"/>
  <c r="P282" i="1"/>
  <c r="CD281" i="1"/>
  <c r="BP281" i="1"/>
  <c r="BO281" i="1"/>
  <c r="BN281" i="1"/>
  <c r="BN280" i="1" s="1"/>
  <c r="BM281" i="1"/>
  <c r="BL281" i="1"/>
  <c r="BK281" i="1"/>
  <c r="BJ281" i="1"/>
  <c r="BF281" i="1"/>
  <c r="AX281" i="1"/>
  <c r="AU281" i="1"/>
  <c r="AJ281" i="1"/>
  <c r="AI281" i="1"/>
  <c r="AO281" i="1" s="1"/>
  <c r="AH281" i="1"/>
  <c r="AD281" i="1"/>
  <c r="AL281" i="1" s="1"/>
  <c r="Z281" i="1"/>
  <c r="AG281" i="1" s="1"/>
  <c r="X281" i="1"/>
  <c r="V281" i="1"/>
  <c r="AC281" i="1" s="1"/>
  <c r="U281" i="1"/>
  <c r="AB281" i="1" s="1"/>
  <c r="T281" i="1"/>
  <c r="AA281" i="1" s="1"/>
  <c r="S281" i="1"/>
  <c r="Q281" i="1"/>
  <c r="P281" i="1"/>
  <c r="K281" i="1"/>
  <c r="I281" i="1"/>
  <c r="CD280" i="1"/>
  <c r="BO280" i="1"/>
  <c r="AU280" i="1"/>
  <c r="AM280" i="1"/>
  <c r="AK280" i="1"/>
  <c r="AI280" i="1"/>
  <c r="AH280" i="1"/>
  <c r="AG280" i="1"/>
  <c r="AE280" i="1"/>
  <c r="AC280" i="1"/>
  <c r="AA280" i="1"/>
  <c r="Q280" i="1"/>
  <c r="O280" i="1"/>
  <c r="M280" i="1"/>
  <c r="K280" i="1"/>
  <c r="BQ279" i="1"/>
  <c r="BM279" i="1"/>
  <c r="BJ279" i="1"/>
  <c r="BI279" i="1"/>
  <c r="BH279" i="1"/>
  <c r="AY279" i="1"/>
  <c r="AX279" i="1"/>
  <c r="AW279" i="1"/>
  <c r="AV279" i="1"/>
  <c r="BG279" i="1" s="1"/>
  <c r="AO279" i="1"/>
  <c r="AN279" i="1"/>
  <c r="AM279" i="1"/>
  <c r="AJ279" i="1"/>
  <c r="AB279" i="1"/>
  <c r="AA279" i="1"/>
  <c r="Y279" i="1"/>
  <c r="V279" i="1"/>
  <c r="U279" i="1"/>
  <c r="T279" i="1"/>
  <c r="P279" i="1"/>
  <c r="N279" i="1"/>
  <c r="M279" i="1" s="1"/>
  <c r="L279" i="1"/>
  <c r="BQ278" i="1"/>
  <c r="BM278" i="1"/>
  <c r="BL278" i="1"/>
  <c r="BJ278" i="1"/>
  <c r="BH278" i="1"/>
  <c r="AY278" i="1"/>
  <c r="AX278" i="1"/>
  <c r="AV278" i="1"/>
  <c r="BI278" i="1" s="1"/>
  <c r="AO278" i="1"/>
  <c r="AN278" i="1"/>
  <c r="AM278" i="1"/>
  <c r="AJ278" i="1"/>
  <c r="AB278" i="1"/>
  <c r="AA278" i="1"/>
  <c r="Y278" i="1"/>
  <c r="V278" i="1"/>
  <c r="U278" i="1"/>
  <c r="T278" i="1"/>
  <c r="N278" i="1"/>
  <c r="P278" i="1" s="1"/>
  <c r="L278" i="1"/>
  <c r="BQ277" i="1"/>
  <c r="BH277" i="1"/>
  <c r="BL277" i="1" s="1"/>
  <c r="AY277" i="1"/>
  <c r="AV277" i="1"/>
  <c r="AU277" i="1"/>
  <c r="BJ277" i="1" s="1"/>
  <c r="AT277" i="1"/>
  <c r="AX277" i="1" s="1"/>
  <c r="AO277" i="1"/>
  <c r="AN277" i="1"/>
  <c r="AM277" i="1"/>
  <c r="AJ277" i="1"/>
  <c r="AB277" i="1"/>
  <c r="AA277" i="1"/>
  <c r="Y277" i="1"/>
  <c r="U277" i="1"/>
  <c r="T277" i="1"/>
  <c r="P277" i="1"/>
  <c r="O277" i="1"/>
  <c r="N277" i="1" s="1"/>
  <c r="M277" i="1" s="1"/>
  <c r="L277" i="1"/>
  <c r="BQ276" i="1"/>
  <c r="BM276" i="1"/>
  <c r="BJ276" i="1"/>
  <c r="BI276" i="1"/>
  <c r="BH276" i="1"/>
  <c r="AY276" i="1"/>
  <c r="AX276" i="1"/>
  <c r="AW276" i="1"/>
  <c r="AV276" i="1"/>
  <c r="BG276" i="1" s="1"/>
  <c r="AO276" i="1"/>
  <c r="AN276" i="1"/>
  <c r="AM276" i="1"/>
  <c r="AJ276" i="1"/>
  <c r="AB276" i="1"/>
  <c r="AA276" i="1"/>
  <c r="Y276" i="1"/>
  <c r="V276" i="1"/>
  <c r="U276" i="1"/>
  <c r="T276" i="1"/>
  <c r="P276" i="1"/>
  <c r="N276" i="1"/>
  <c r="M276" i="1" s="1"/>
  <c r="L276" i="1"/>
  <c r="BQ275" i="1"/>
  <c r="BL275" i="1"/>
  <c r="BJ275" i="1"/>
  <c r="AT275" i="1"/>
  <c r="AY275" i="1" s="1"/>
  <c r="AO275" i="1"/>
  <c r="AN275" i="1"/>
  <c r="AM275" i="1"/>
  <c r="AJ275" i="1"/>
  <c r="AB275" i="1"/>
  <c r="AA275" i="1"/>
  <c r="Y275" i="1"/>
  <c r="V275" i="1"/>
  <c r="U275" i="1"/>
  <c r="T275" i="1"/>
  <c r="N275" i="1"/>
  <c r="P275" i="1" s="1"/>
  <c r="L275" i="1"/>
  <c r="BV274" i="1"/>
  <c r="BR274" i="1"/>
  <c r="BQ274" i="1"/>
  <c r="BJ274" i="1"/>
  <c r="BH274" i="1"/>
  <c r="BL274" i="1" s="1"/>
  <c r="AY274" i="1"/>
  <c r="AX274" i="1"/>
  <c r="AV274" i="1"/>
  <c r="AO274" i="1"/>
  <c r="AN274" i="1"/>
  <c r="AM274" i="1"/>
  <c r="AJ274" i="1"/>
  <c r="AB274" i="1"/>
  <c r="AA274" i="1"/>
  <c r="Y274" i="1"/>
  <c r="V274" i="1"/>
  <c r="U274" i="1"/>
  <c r="T274" i="1"/>
  <c r="N274" i="1"/>
  <c r="P274" i="1" s="1"/>
  <c r="M274" i="1"/>
  <c r="L274" i="1"/>
  <c r="BQ273" i="1"/>
  <c r="BH273" i="1"/>
  <c r="AY273" i="1"/>
  <c r="AX273" i="1"/>
  <c r="AU273" i="1"/>
  <c r="BJ273" i="1" s="1"/>
  <c r="AT273" i="1"/>
  <c r="AV273" i="1" s="1"/>
  <c r="AO273" i="1"/>
  <c r="AN273" i="1"/>
  <c r="AM273" i="1"/>
  <c r="AJ273" i="1"/>
  <c r="AB273" i="1"/>
  <c r="AA273" i="1"/>
  <c r="Y273" i="1"/>
  <c r="V273" i="1"/>
  <c r="U273" i="1"/>
  <c r="T273" i="1"/>
  <c r="O273" i="1"/>
  <c r="N273" i="1" s="1"/>
  <c r="L273" i="1"/>
  <c r="BQ272" i="1"/>
  <c r="BL272" i="1"/>
  <c r="BH272" i="1"/>
  <c r="AV272" i="1"/>
  <c r="AU272" i="1"/>
  <c r="BJ272" i="1" s="1"/>
  <c r="AT272" i="1"/>
  <c r="AO272" i="1"/>
  <c r="AN272" i="1"/>
  <c r="AM272" i="1"/>
  <c r="AJ272" i="1"/>
  <c r="AB272" i="1"/>
  <c r="AA272" i="1"/>
  <c r="Y272" i="1"/>
  <c r="U272" i="1"/>
  <c r="T272" i="1"/>
  <c r="O272" i="1"/>
  <c r="V272" i="1" s="1"/>
  <c r="L272" i="1"/>
  <c r="BQ271" i="1"/>
  <c r="BL271" i="1"/>
  <c r="BJ271" i="1"/>
  <c r="BI271" i="1"/>
  <c r="AY271" i="1"/>
  <c r="AX271" i="1"/>
  <c r="AT271" i="1"/>
  <c r="AV271" i="1" s="1"/>
  <c r="AO271" i="1"/>
  <c r="AN271" i="1"/>
  <c r="AM271" i="1"/>
  <c r="AH271" i="1"/>
  <c r="AJ271" i="1" s="1"/>
  <c r="AB271" i="1"/>
  <c r="AA271" i="1"/>
  <c r="X271" i="1"/>
  <c r="X259" i="1" s="1"/>
  <c r="Y259" i="1" s="1"/>
  <c r="V271" i="1"/>
  <c r="S271" i="1"/>
  <c r="U271" i="1" s="1"/>
  <c r="P271" i="1"/>
  <c r="N271" i="1"/>
  <c r="M271" i="1" s="1"/>
  <c r="L271" i="1"/>
  <c r="BV270" i="1"/>
  <c r="BQ270" i="1"/>
  <c r="BM270" i="1"/>
  <c r="BL270" i="1"/>
  <c r="BJ270" i="1"/>
  <c r="BH270" i="1"/>
  <c r="AY270" i="1"/>
  <c r="AX270" i="1"/>
  <c r="AV270" i="1"/>
  <c r="AO270" i="1"/>
  <c r="AN270" i="1"/>
  <c r="AM270" i="1"/>
  <c r="AJ270" i="1"/>
  <c r="AB270" i="1"/>
  <c r="AA270" i="1"/>
  <c r="Y270" i="1"/>
  <c r="V270" i="1"/>
  <c r="U270" i="1"/>
  <c r="T270" i="1"/>
  <c r="P270" i="1"/>
  <c r="N270" i="1"/>
  <c r="M270" i="1" s="1"/>
  <c r="L270" i="1"/>
  <c r="BQ269" i="1"/>
  <c r="BM269" i="1"/>
  <c r="BJ269" i="1"/>
  <c r="BI269" i="1"/>
  <c r="BH269" i="1"/>
  <c r="BG269" i="1"/>
  <c r="AY269" i="1"/>
  <c r="AX269" i="1"/>
  <c r="AV269" i="1"/>
  <c r="AW269" i="1" s="1"/>
  <c r="AO269" i="1"/>
  <c r="AN269" i="1"/>
  <c r="AM269" i="1"/>
  <c r="AJ269" i="1"/>
  <c r="AB269" i="1"/>
  <c r="AA269" i="1"/>
  <c r="Y269" i="1"/>
  <c r="V269" i="1"/>
  <c r="U269" i="1"/>
  <c r="T269" i="1"/>
  <c r="N269" i="1"/>
  <c r="P269" i="1" s="1"/>
  <c r="L269" i="1"/>
  <c r="BR268" i="1"/>
  <c r="BQ268" i="1"/>
  <c r="BM268" i="1"/>
  <c r="BL268" i="1"/>
  <c r="BJ268" i="1"/>
  <c r="BH268" i="1"/>
  <c r="AY268" i="1"/>
  <c r="AX268" i="1"/>
  <c r="AV268" i="1"/>
  <c r="BI268" i="1" s="1"/>
  <c r="AO268" i="1"/>
  <c r="AN268" i="1"/>
  <c r="AM268" i="1"/>
  <c r="AJ268" i="1"/>
  <c r="AB268" i="1"/>
  <c r="AA268" i="1"/>
  <c r="Y268" i="1"/>
  <c r="V268" i="1"/>
  <c r="U268" i="1"/>
  <c r="T268" i="1"/>
  <c r="N268" i="1"/>
  <c r="P268" i="1" s="1"/>
  <c r="M268" i="1"/>
  <c r="L268" i="1"/>
  <c r="BQ267" i="1"/>
  <c r="BJ267" i="1"/>
  <c r="BH267" i="1"/>
  <c r="BL267" i="1" s="1"/>
  <c r="AV267" i="1"/>
  <c r="AT267" i="1"/>
  <c r="AO267" i="1"/>
  <c r="AN267" i="1"/>
  <c r="AM267" i="1"/>
  <c r="AJ267" i="1"/>
  <c r="AB267" i="1"/>
  <c r="AA267" i="1"/>
  <c r="Y267" i="1"/>
  <c r="V267" i="1"/>
  <c r="U267" i="1"/>
  <c r="T267" i="1"/>
  <c r="P267" i="1"/>
  <c r="N267" i="1"/>
  <c r="M267" i="1"/>
  <c r="L267" i="1"/>
  <c r="BQ266" i="1"/>
  <c r="BL266" i="1"/>
  <c r="BJ266" i="1"/>
  <c r="AY266" i="1"/>
  <c r="AX266" i="1"/>
  <c r="AW266" i="1"/>
  <c r="AT266" i="1"/>
  <c r="AV266" i="1" s="1"/>
  <c r="AO266" i="1"/>
  <c r="AN266" i="1"/>
  <c r="AM266" i="1"/>
  <c r="AJ266" i="1"/>
  <c r="AB266" i="1"/>
  <c r="AA266" i="1"/>
  <c r="Y266" i="1"/>
  <c r="V266" i="1"/>
  <c r="U266" i="1"/>
  <c r="T266" i="1"/>
  <c r="N266" i="1"/>
  <c r="P266" i="1" s="1"/>
  <c r="M266" i="1"/>
  <c r="L266" i="1"/>
  <c r="BQ265" i="1"/>
  <c r="BJ265" i="1"/>
  <c r="BH265" i="1"/>
  <c r="AX265" i="1"/>
  <c r="AT265" i="1"/>
  <c r="AY265" i="1" s="1"/>
  <c r="AO265" i="1"/>
  <c r="AN265" i="1"/>
  <c r="AM265" i="1"/>
  <c r="AJ265" i="1"/>
  <c r="AB265" i="1"/>
  <c r="AA265" i="1"/>
  <c r="AA259" i="1" s="1"/>
  <c r="Y265" i="1"/>
  <c r="V265" i="1"/>
  <c r="U265" i="1"/>
  <c r="T265" i="1"/>
  <c r="N265" i="1"/>
  <c r="P265" i="1" s="1"/>
  <c r="M265" i="1"/>
  <c r="L265" i="1"/>
  <c r="L259" i="1" s="1"/>
  <c r="L251" i="1" s="1"/>
  <c r="L250" i="1" s="1"/>
  <c r="BQ264" i="1"/>
  <c r="BH264" i="1"/>
  <c r="BL264" i="1" s="1"/>
  <c r="AU264" i="1"/>
  <c r="BJ264" i="1" s="1"/>
  <c r="AT264" i="1"/>
  <c r="AO264" i="1"/>
  <c r="AN264" i="1"/>
  <c r="AM264" i="1"/>
  <c r="AJ264" i="1"/>
  <c r="AB264" i="1"/>
  <c r="AA264" i="1"/>
  <c r="Y264" i="1"/>
  <c r="U264" i="1"/>
  <c r="T264" i="1"/>
  <c r="O264" i="1"/>
  <c r="V264" i="1" s="1"/>
  <c r="N264" i="1"/>
  <c r="L264" i="1"/>
  <c r="BR263" i="1"/>
  <c r="BQ263" i="1"/>
  <c r="BJ263" i="1"/>
  <c r="BH263" i="1"/>
  <c r="BG263" i="1"/>
  <c r="AY263" i="1"/>
  <c r="AX263" i="1"/>
  <c r="AV263" i="1"/>
  <c r="AW263" i="1" s="1"/>
  <c r="AN263" i="1"/>
  <c r="AJ263" i="1"/>
  <c r="AI263" i="1"/>
  <c r="AO263" i="1" s="1"/>
  <c r="AB263" i="1"/>
  <c r="AA263" i="1"/>
  <c r="Y263" i="1"/>
  <c r="V263" i="1"/>
  <c r="U263" i="1"/>
  <c r="T263" i="1"/>
  <c r="N263" i="1"/>
  <c r="P263" i="1" s="1"/>
  <c r="L263" i="1"/>
  <c r="BR262" i="1"/>
  <c r="BQ262" i="1"/>
  <c r="BM262" i="1"/>
  <c r="BL262" i="1"/>
  <c r="BJ262" i="1"/>
  <c r="BH262" i="1"/>
  <c r="AY262" i="1"/>
  <c r="AX262" i="1"/>
  <c r="AV262" i="1"/>
  <c r="BI262" i="1" s="1"/>
  <c r="AO262" i="1"/>
  <c r="AN262" i="1"/>
  <c r="AM262" i="1"/>
  <c r="AJ262" i="1"/>
  <c r="AB262" i="1"/>
  <c r="AA262" i="1"/>
  <c r="Y262" i="1"/>
  <c r="V262" i="1"/>
  <c r="U262" i="1"/>
  <c r="T262" i="1"/>
  <c r="N262" i="1"/>
  <c r="P262" i="1" s="1"/>
  <c r="M262" i="1"/>
  <c r="L262" i="1"/>
  <c r="BQ261" i="1"/>
  <c r="BH261" i="1"/>
  <c r="BL261" i="1" s="1"/>
  <c r="AV261" i="1"/>
  <c r="AU261" i="1"/>
  <c r="AT261" i="1"/>
  <c r="AO261" i="1"/>
  <c r="AN261" i="1"/>
  <c r="AM261" i="1"/>
  <c r="AJ261" i="1"/>
  <c r="AB261" i="1"/>
  <c r="AA261" i="1"/>
  <c r="Y261" i="1"/>
  <c r="U261" i="1"/>
  <c r="T261" i="1"/>
  <c r="O261" i="1"/>
  <c r="L261" i="1"/>
  <c r="BQ260" i="1"/>
  <c r="BM260" i="1"/>
  <c r="BJ260" i="1"/>
  <c r="BI260" i="1"/>
  <c r="BH260" i="1"/>
  <c r="BG260" i="1"/>
  <c r="AY260" i="1"/>
  <c r="AX260" i="1"/>
  <c r="AV260" i="1"/>
  <c r="AW260" i="1" s="1"/>
  <c r="AO260" i="1"/>
  <c r="AN260" i="1"/>
  <c r="AM260" i="1"/>
  <c r="AJ260" i="1"/>
  <c r="AJ259" i="1" s="1"/>
  <c r="AB260" i="1"/>
  <c r="AA260" i="1"/>
  <c r="Y260" i="1"/>
  <c r="V260" i="1"/>
  <c r="U260" i="1"/>
  <c r="T260" i="1"/>
  <c r="N260" i="1"/>
  <c r="P260" i="1" s="1"/>
  <c r="L260" i="1"/>
  <c r="CD259" i="1"/>
  <c r="BQ259" i="1"/>
  <c r="BP259" i="1"/>
  <c r="BP251" i="1" s="1"/>
  <c r="BO259" i="1"/>
  <c r="BO251" i="1" s="1"/>
  <c r="BO250" i="1" s="1"/>
  <c r="BN259" i="1"/>
  <c r="BK259" i="1"/>
  <c r="BK251" i="1" s="1"/>
  <c r="BF259" i="1"/>
  <c r="BE259" i="1"/>
  <c r="BD259" i="1"/>
  <c r="BC259" i="1"/>
  <c r="BC251" i="1" s="1"/>
  <c r="BB259" i="1"/>
  <c r="BA259" i="1"/>
  <c r="AZ259" i="1"/>
  <c r="AN259" i="1"/>
  <c r="AM259" i="1"/>
  <c r="AL259" i="1"/>
  <c r="AK259" i="1"/>
  <c r="AI259" i="1"/>
  <c r="AI251" i="1" s="1"/>
  <c r="AI250" i="1" s="1"/>
  <c r="AO250" i="1" s="1"/>
  <c r="AH259" i="1"/>
  <c r="AG259" i="1"/>
  <c r="AF259" i="1"/>
  <c r="AE259" i="1"/>
  <c r="AD259" i="1"/>
  <c r="AC259" i="1"/>
  <c r="AC251" i="1" s="1"/>
  <c r="AC250" i="1" s="1"/>
  <c r="AB259" i="1"/>
  <c r="Z259" i="1"/>
  <c r="S259" i="1"/>
  <c r="U259" i="1" s="1"/>
  <c r="Q259" i="1"/>
  <c r="K259" i="1"/>
  <c r="J259" i="1"/>
  <c r="I259" i="1"/>
  <c r="I251" i="1" s="1"/>
  <c r="I250" i="1" s="1"/>
  <c r="BQ258" i="1"/>
  <c r="BL258" i="1"/>
  <c r="BJ258" i="1"/>
  <c r="BJ252" i="1" s="1"/>
  <c r="BG258" i="1"/>
  <c r="BG252" i="1" s="1"/>
  <c r="AY258" i="1"/>
  <c r="AX258" i="1"/>
  <c r="AV258" i="1"/>
  <c r="AO258" i="1"/>
  <c r="AN258" i="1"/>
  <c r="AM258" i="1"/>
  <c r="AJ258" i="1"/>
  <c r="AJ252" i="1" s="1"/>
  <c r="AJ251" i="1" s="1"/>
  <c r="AJ250" i="1" s="1"/>
  <c r="AB258" i="1"/>
  <c r="AA258" i="1"/>
  <c r="AA252" i="1" s="1"/>
  <c r="Y258" i="1"/>
  <c r="V258" i="1"/>
  <c r="U258" i="1"/>
  <c r="T258" i="1"/>
  <c r="N258" i="1"/>
  <c r="BV257" i="1"/>
  <c r="BR257" i="1"/>
  <c r="BQ257" i="1"/>
  <c r="BM257" i="1"/>
  <c r="BL257" i="1"/>
  <c r="BJ257" i="1"/>
  <c r="BI257" i="1"/>
  <c r="BG257" i="1"/>
  <c r="AY257" i="1"/>
  <c r="AX257" i="1"/>
  <c r="AW257" i="1"/>
  <c r="AO257" i="1"/>
  <c r="AN257" i="1"/>
  <c r="AM257" i="1"/>
  <c r="AJ257" i="1"/>
  <c r="AB257" i="1"/>
  <c r="AA257" i="1"/>
  <c r="Y257" i="1"/>
  <c r="V257" i="1"/>
  <c r="U257" i="1"/>
  <c r="T257" i="1"/>
  <c r="P257" i="1"/>
  <c r="BV256" i="1"/>
  <c r="BR256" i="1"/>
  <c r="BQ256" i="1"/>
  <c r="BM256" i="1"/>
  <c r="BL256" i="1"/>
  <c r="BJ256" i="1"/>
  <c r="BI256" i="1"/>
  <c r="BG256" i="1"/>
  <c r="AY256" i="1"/>
  <c r="AX256" i="1"/>
  <c r="AW256" i="1"/>
  <c r="AO256" i="1"/>
  <c r="AN256" i="1"/>
  <c r="AM256" i="1"/>
  <c r="AJ256" i="1"/>
  <c r="AB256" i="1"/>
  <c r="AA256" i="1"/>
  <c r="Y256" i="1"/>
  <c r="V256" i="1"/>
  <c r="U256" i="1"/>
  <c r="T256" i="1"/>
  <c r="P256" i="1"/>
  <c r="BV255" i="1"/>
  <c r="BR255" i="1"/>
  <c r="BQ255" i="1"/>
  <c r="BM255" i="1"/>
  <c r="BL255" i="1"/>
  <c r="BJ255" i="1"/>
  <c r="BI255" i="1"/>
  <c r="BG255" i="1"/>
  <c r="AY255" i="1"/>
  <c r="AX255" i="1"/>
  <c r="AW255" i="1"/>
  <c r="AO255" i="1"/>
  <c r="AN255" i="1"/>
  <c r="AM255" i="1"/>
  <c r="AJ255" i="1"/>
  <c r="AB255" i="1"/>
  <c r="AA255" i="1"/>
  <c r="Y255" i="1"/>
  <c r="V255" i="1"/>
  <c r="U255" i="1"/>
  <c r="T255" i="1"/>
  <c r="P255" i="1"/>
  <c r="BV254" i="1"/>
  <c r="BR254" i="1"/>
  <c r="BQ254" i="1"/>
  <c r="BM254" i="1"/>
  <c r="BL254" i="1"/>
  <c r="BJ254" i="1"/>
  <c r="BI254" i="1"/>
  <c r="BG254" i="1"/>
  <c r="AY254" i="1"/>
  <c r="AX254" i="1"/>
  <c r="AW254" i="1"/>
  <c r="AO254" i="1"/>
  <c r="AN254" i="1"/>
  <c r="AM254" i="1"/>
  <c r="AJ254" i="1"/>
  <c r="AB254" i="1"/>
  <c r="AA254" i="1"/>
  <c r="Y254" i="1"/>
  <c r="V254" i="1"/>
  <c r="U254" i="1"/>
  <c r="T254" i="1"/>
  <c r="P254" i="1"/>
  <c r="BV253" i="1"/>
  <c r="BR253" i="1"/>
  <c r="BQ253" i="1"/>
  <c r="BM253" i="1"/>
  <c r="BL253" i="1"/>
  <c r="BJ253" i="1"/>
  <c r="BI253" i="1"/>
  <c r="BG253" i="1"/>
  <c r="AY253" i="1"/>
  <c r="AX253" i="1"/>
  <c r="AW253" i="1"/>
  <c r="AO253" i="1"/>
  <c r="AN253" i="1"/>
  <c r="AM253" i="1"/>
  <c r="AJ253" i="1"/>
  <c r="AB253" i="1"/>
  <c r="AA253" i="1"/>
  <c r="Y253" i="1"/>
  <c r="V253" i="1"/>
  <c r="U253" i="1"/>
  <c r="T253" i="1"/>
  <c r="P253" i="1"/>
  <c r="CD252" i="1"/>
  <c r="CD251" i="1" s="1"/>
  <c r="CD250" i="1" s="1"/>
  <c r="BQ252" i="1"/>
  <c r="BP252" i="1"/>
  <c r="BO252" i="1"/>
  <c r="BN252" i="1"/>
  <c r="BL252" i="1"/>
  <c r="BK252" i="1"/>
  <c r="BH252" i="1"/>
  <c r="BF252" i="1"/>
  <c r="BE252" i="1"/>
  <c r="BE251" i="1" s="1"/>
  <c r="BE250" i="1" s="1"/>
  <c r="BD252" i="1"/>
  <c r="BC252" i="1"/>
  <c r="BB252" i="1"/>
  <c r="BA252" i="1"/>
  <c r="BA251" i="1" s="1"/>
  <c r="BA250" i="1" s="1"/>
  <c r="AZ252" i="1"/>
  <c r="AY252" i="1"/>
  <c r="AX252" i="1"/>
  <c r="AU252" i="1"/>
  <c r="AT252" i="1"/>
  <c r="AO252" i="1"/>
  <c r="AL252" i="1"/>
  <c r="AN252" i="1" s="1"/>
  <c r="AK252" i="1"/>
  <c r="AK251" i="1" s="1"/>
  <c r="AK250" i="1" s="1"/>
  <c r="AI252" i="1"/>
  <c r="AH252" i="1"/>
  <c r="AG252" i="1"/>
  <c r="AG251" i="1" s="1"/>
  <c r="AG250" i="1" s="1"/>
  <c r="AF252" i="1"/>
  <c r="AE252" i="1"/>
  <c r="AE251" i="1" s="1"/>
  <c r="AE250" i="1" s="1"/>
  <c r="AD252" i="1"/>
  <c r="AD251" i="1" s="1"/>
  <c r="AD250" i="1" s="1"/>
  <c r="AC252" i="1"/>
  <c r="AB252" i="1"/>
  <c r="Z252" i="1"/>
  <c r="Y252" i="1"/>
  <c r="X252" i="1"/>
  <c r="T252" i="1"/>
  <c r="S252" i="1"/>
  <c r="Q252" i="1"/>
  <c r="Q251" i="1" s="1"/>
  <c r="Q250" i="1" s="1"/>
  <c r="O252" i="1"/>
  <c r="V252" i="1" s="1"/>
  <c r="L252" i="1"/>
  <c r="K252" i="1"/>
  <c r="J252" i="1"/>
  <c r="I252" i="1"/>
  <c r="BN251" i="1"/>
  <c r="BF251" i="1"/>
  <c r="BF250" i="1" s="1"/>
  <c r="BD251" i="1"/>
  <c r="BD250" i="1" s="1"/>
  <c r="BB251" i="1"/>
  <c r="AZ251" i="1"/>
  <c r="AZ250" i="1" s="1"/>
  <c r="AN251" i="1"/>
  <c r="AL251" i="1"/>
  <c r="AH251" i="1"/>
  <c r="AF251" i="1"/>
  <c r="AF250" i="1" s="1"/>
  <c r="AB251" i="1"/>
  <c r="AB250" i="1" s="1"/>
  <c r="Z251" i="1"/>
  <c r="X251" i="1"/>
  <c r="S251" i="1"/>
  <c r="J251" i="1"/>
  <c r="J250" i="1" s="1"/>
  <c r="BP250" i="1"/>
  <c r="BN250" i="1"/>
  <c r="BK250" i="1"/>
  <c r="BC250" i="1"/>
  <c r="BB250" i="1"/>
  <c r="AN250" i="1"/>
  <c r="AM250" i="1"/>
  <c r="AL250" i="1"/>
  <c r="AH250" i="1"/>
  <c r="Z250" i="1"/>
  <c r="BV249" i="1"/>
  <c r="BJ249" i="1"/>
  <c r="BI249" i="1"/>
  <c r="BH249" i="1"/>
  <c r="BK249" i="1" s="1"/>
  <c r="BA249" i="1"/>
  <c r="AX249" i="1"/>
  <c r="AV249" i="1"/>
  <c r="BG249" i="1" s="1"/>
  <c r="AL249" i="1"/>
  <c r="AJ249" i="1"/>
  <c r="AI249" i="1"/>
  <c r="AO249" i="1" s="1"/>
  <c r="AH249" i="1"/>
  <c r="AA249" i="1"/>
  <c r="BR248" i="1"/>
  <c r="BK248" i="1"/>
  <c r="BQ248" i="1" s="1"/>
  <c r="BI248" i="1"/>
  <c r="BG248" i="1"/>
  <c r="AY248" i="1"/>
  <c r="AV248" i="1"/>
  <c r="BV248" i="1" s="1"/>
  <c r="AU248" i="1"/>
  <c r="AM248" i="1"/>
  <c r="AA248" i="1"/>
  <c r="AH248" i="1" s="1"/>
  <c r="AJ248" i="1" s="1"/>
  <c r="Z248" i="1"/>
  <c r="Y248" i="1"/>
  <c r="V248" i="1"/>
  <c r="U248" i="1"/>
  <c r="T248" i="1"/>
  <c r="P248" i="1"/>
  <c r="BQ247" i="1"/>
  <c r="BL247" i="1"/>
  <c r="BJ247" i="1"/>
  <c r="BI247" i="1"/>
  <c r="BH247" i="1"/>
  <c r="BV247" i="1" s="1"/>
  <c r="AY247" i="1"/>
  <c r="AX247" i="1"/>
  <c r="AW247" i="1"/>
  <c r="AV247" i="1"/>
  <c r="BG247" i="1" s="1"/>
  <c r="AN247" i="1"/>
  <c r="AJ247" i="1"/>
  <c r="AI247" i="1"/>
  <c r="AB247" i="1"/>
  <c r="AA247" i="1"/>
  <c r="X247" i="1"/>
  <c r="Y247" i="1" s="1"/>
  <c r="V247" i="1"/>
  <c r="U247" i="1"/>
  <c r="T247" i="1"/>
  <c r="O247" i="1"/>
  <c r="M247" i="1"/>
  <c r="N247" i="1" s="1"/>
  <c r="P247" i="1" s="1"/>
  <c r="BV246" i="1"/>
  <c r="BR246" i="1"/>
  <c r="BQ246" i="1"/>
  <c r="BJ246" i="1"/>
  <c r="BH246" i="1"/>
  <c r="BL246" i="1" s="1"/>
  <c r="AY246" i="1"/>
  <c r="AX246" i="1"/>
  <c r="AW246" i="1"/>
  <c r="AV246" i="1"/>
  <c r="AO246" i="1"/>
  <c r="AL246" i="1"/>
  <c r="AN246" i="1" s="1"/>
  <c r="AJ246" i="1"/>
  <c r="AI246" i="1"/>
  <c r="AH246" i="1"/>
  <c r="AB246" i="1"/>
  <c r="AA246" i="1"/>
  <c r="X246" i="1"/>
  <c r="Y246" i="1" s="1"/>
  <c r="V246" i="1"/>
  <c r="U246" i="1"/>
  <c r="T246" i="1"/>
  <c r="P246" i="1"/>
  <c r="O246" i="1"/>
  <c r="BR245" i="1"/>
  <c r="BQ245" i="1"/>
  <c r="BM245" i="1"/>
  <c r="BJ245" i="1"/>
  <c r="BI245" i="1"/>
  <c r="BH245" i="1"/>
  <c r="BL245" i="1" s="1"/>
  <c r="BG245" i="1"/>
  <c r="AW245" i="1"/>
  <c r="AT245" i="1"/>
  <c r="AO245" i="1"/>
  <c r="AN245" i="1"/>
  <c r="AM245" i="1"/>
  <c r="AI245" i="1"/>
  <c r="AH245" i="1"/>
  <c r="AJ245" i="1" s="1"/>
  <c r="AB245" i="1"/>
  <c r="AA245" i="1"/>
  <c r="X245" i="1"/>
  <c r="Y245" i="1" s="1"/>
  <c r="U245" i="1"/>
  <c r="O245" i="1"/>
  <c r="S245" i="1" s="1"/>
  <c r="M245" i="1"/>
  <c r="N245" i="1" s="1"/>
  <c r="P245" i="1" s="1"/>
  <c r="BV244" i="1"/>
  <c r="BK244" i="1"/>
  <c r="BH244" i="1"/>
  <c r="AY244" i="1"/>
  <c r="AX244" i="1"/>
  <c r="AW244" i="1"/>
  <c r="AV244" i="1"/>
  <c r="BR244" i="1" s="1"/>
  <c r="AU244" i="1"/>
  <c r="BJ244" i="1" s="1"/>
  <c r="AM244" i="1"/>
  <c r="AB244" i="1"/>
  <c r="AA244" i="1"/>
  <c r="Z244" i="1"/>
  <c r="AO244" i="1" s="1"/>
  <c r="Y244" i="1"/>
  <c r="V244" i="1"/>
  <c r="U244" i="1"/>
  <c r="T244" i="1"/>
  <c r="P244" i="1"/>
  <c r="M244" i="1"/>
  <c r="BP243" i="1"/>
  <c r="BR243" i="1" s="1"/>
  <c r="BM243" i="1"/>
  <c r="AY243" i="1"/>
  <c r="AX243" i="1"/>
  <c r="AV243" i="1"/>
  <c r="BG243" i="1" s="1"/>
  <c r="AO243" i="1"/>
  <c r="AN243" i="1"/>
  <c r="AM243" i="1"/>
  <c r="AH243" i="1"/>
  <c r="AJ243" i="1" s="1"/>
  <c r="AB243" i="1"/>
  <c r="AA243" i="1"/>
  <c r="X243" i="1"/>
  <c r="Y243" i="1" s="1"/>
  <c r="V243" i="1"/>
  <c r="S243" i="1"/>
  <c r="U243" i="1" s="1"/>
  <c r="O243" i="1"/>
  <c r="N243" i="1"/>
  <c r="P243" i="1" s="1"/>
  <c r="M243" i="1"/>
  <c r="BQ242" i="1"/>
  <c r="AY242" i="1"/>
  <c r="AX242" i="1"/>
  <c r="AT242" i="1"/>
  <c r="AV242" i="1" s="1"/>
  <c r="AO242" i="1"/>
  <c r="AN242" i="1"/>
  <c r="AM242" i="1"/>
  <c r="AH242" i="1"/>
  <c r="AJ242" i="1" s="1"/>
  <c r="AB242" i="1"/>
  <c r="AA242" i="1"/>
  <c r="Y242" i="1"/>
  <c r="V242" i="1"/>
  <c r="U242" i="1"/>
  <c r="S242" i="1"/>
  <c r="T242" i="1" s="1"/>
  <c r="O242" i="1"/>
  <c r="M242" i="1"/>
  <c r="N242" i="1" s="1"/>
  <c r="P242" i="1" s="1"/>
  <c r="BQ241" i="1"/>
  <c r="BM241" i="1"/>
  <c r="BJ241" i="1"/>
  <c r="BF241" i="1"/>
  <c r="AY241" i="1"/>
  <c r="AX241" i="1"/>
  <c r="AV241" i="1"/>
  <c r="BG241" i="1" s="1"/>
  <c r="AN241" i="1"/>
  <c r="AM241" i="1"/>
  <c r="AJ241" i="1"/>
  <c r="AI241" i="1"/>
  <c r="AO241" i="1" s="1"/>
  <c r="AH241" i="1"/>
  <c r="AB241" i="1"/>
  <c r="AA241" i="1"/>
  <c r="X241" i="1"/>
  <c r="Y241" i="1" s="1"/>
  <c r="U241" i="1"/>
  <c r="T241" i="1"/>
  <c r="P241" i="1"/>
  <c r="O241" i="1"/>
  <c r="N241" i="1"/>
  <c r="M241" i="1"/>
  <c r="BG240" i="1"/>
  <c r="AX240" i="1"/>
  <c r="AV240" i="1"/>
  <c r="AL240" i="1"/>
  <c r="AY240" i="1" s="1"/>
  <c r="AI240" i="1"/>
  <c r="AH240" i="1"/>
  <c r="AB240" i="1"/>
  <c r="AA240" i="1"/>
  <c r="X240" i="1"/>
  <c r="Y240" i="1" s="1"/>
  <c r="V240" i="1"/>
  <c r="S240" i="1"/>
  <c r="U240" i="1" s="1"/>
  <c r="O240" i="1"/>
  <c r="M240" i="1"/>
  <c r="N240" i="1" s="1"/>
  <c r="BQ239" i="1"/>
  <c r="BG239" i="1"/>
  <c r="AY239" i="1"/>
  <c r="AX239" i="1"/>
  <c r="AW239" i="1"/>
  <c r="AV239" i="1"/>
  <c r="BR239" i="1" s="1"/>
  <c r="AO239" i="1"/>
  <c r="AN239" i="1"/>
  <c r="AM239" i="1"/>
  <c r="AH239" i="1"/>
  <c r="AJ239" i="1" s="1"/>
  <c r="AB239" i="1"/>
  <c r="AA239" i="1"/>
  <c r="X239" i="1"/>
  <c r="V239" i="1"/>
  <c r="U239" i="1"/>
  <c r="T239" i="1"/>
  <c r="O239" i="1"/>
  <c r="N239" i="1"/>
  <c r="P239" i="1" s="1"/>
  <c r="M239" i="1"/>
  <c r="CD238" i="1"/>
  <c r="BP238" i="1"/>
  <c r="BO238" i="1"/>
  <c r="BO237" i="1" s="1"/>
  <c r="BN238" i="1"/>
  <c r="BN237" i="1" s="1"/>
  <c r="BE238" i="1"/>
  <c r="BD238" i="1"/>
  <c r="BD237" i="1" s="1"/>
  <c r="BC238" i="1"/>
  <c r="BC237" i="1" s="1"/>
  <c r="BB238" i="1"/>
  <c r="BB237" i="1" s="1"/>
  <c r="BA238" i="1"/>
  <c r="AZ238" i="1"/>
  <c r="AL238" i="1"/>
  <c r="AL237" i="1" s="1"/>
  <c r="AK238" i="1"/>
  <c r="AG238" i="1"/>
  <c r="AF238" i="1"/>
  <c r="AE238" i="1"/>
  <c r="AD238" i="1"/>
  <c r="AD237" i="1" s="1"/>
  <c r="AC238" i="1"/>
  <c r="AA238" i="1"/>
  <c r="AA237" i="1" s="1"/>
  <c r="Z238" i="1"/>
  <c r="AN238" i="1" s="1"/>
  <c r="Q238" i="1"/>
  <c r="L238" i="1"/>
  <c r="L237" i="1" s="1"/>
  <c r="K238" i="1"/>
  <c r="J238" i="1"/>
  <c r="I238" i="1"/>
  <c r="CD237" i="1"/>
  <c r="BE237" i="1"/>
  <c r="BA237" i="1"/>
  <c r="AZ237" i="1"/>
  <c r="AK237" i="1"/>
  <c r="AG237" i="1"/>
  <c r="AF237" i="1"/>
  <c r="AE237" i="1"/>
  <c r="AC237" i="1"/>
  <c r="Q237" i="1"/>
  <c r="K237" i="1"/>
  <c r="J237" i="1"/>
  <c r="I237" i="1"/>
  <c r="BR236" i="1"/>
  <c r="BQ236" i="1"/>
  <c r="BM236" i="1"/>
  <c r="BG236" i="1"/>
  <c r="BF236" i="1"/>
  <c r="BE236" i="1"/>
  <c r="AY236" i="1"/>
  <c r="AX236" i="1"/>
  <c r="AW236" i="1"/>
  <c r="AP236" i="1"/>
  <c r="AO236" i="1"/>
  <c r="AN236" i="1"/>
  <c r="AM236" i="1"/>
  <c r="AJ236" i="1"/>
  <c r="AJ235" i="1" s="1"/>
  <c r="AJ234" i="1" s="1"/>
  <c r="AH236" i="1"/>
  <c r="AE236" i="1"/>
  <c r="AD236" i="1"/>
  <c r="AD235" i="1" s="1"/>
  <c r="AD234" i="1" s="1"/>
  <c r="AB236" i="1"/>
  <c r="AB235" i="1" s="1"/>
  <c r="AA236" i="1"/>
  <c r="Y236" i="1"/>
  <c r="V236" i="1"/>
  <c r="U236" i="1"/>
  <c r="T236" i="1"/>
  <c r="N236" i="1"/>
  <c r="P236" i="1" s="1"/>
  <c r="M236" i="1"/>
  <c r="M235" i="1" s="1"/>
  <c r="CD235" i="1"/>
  <c r="BR235" i="1"/>
  <c r="BQ235" i="1"/>
  <c r="BP235" i="1"/>
  <c r="BO235" i="1"/>
  <c r="BN235" i="1"/>
  <c r="BM235" i="1"/>
  <c r="BM234" i="1" s="1"/>
  <c r="BK235" i="1"/>
  <c r="BG235" i="1"/>
  <c r="BG234" i="1" s="1"/>
  <c r="BE235" i="1"/>
  <c r="BD235" i="1"/>
  <c r="BC235" i="1"/>
  <c r="BB235" i="1"/>
  <c r="BA235" i="1"/>
  <c r="BA234" i="1" s="1"/>
  <c r="AZ235" i="1"/>
  <c r="AY235" i="1"/>
  <c r="AX235" i="1"/>
  <c r="AW235" i="1"/>
  <c r="AW234" i="1" s="1"/>
  <c r="AV235" i="1"/>
  <c r="AU235" i="1"/>
  <c r="AU234" i="1" s="1"/>
  <c r="AT235" i="1"/>
  <c r="AT234" i="1" s="1"/>
  <c r="AO235" i="1"/>
  <c r="AL235" i="1"/>
  <c r="AN235" i="1" s="1"/>
  <c r="AK235" i="1"/>
  <c r="AK234" i="1" s="1"/>
  <c r="AI235" i="1"/>
  <c r="AH235" i="1"/>
  <c r="AG235" i="1"/>
  <c r="AG234" i="1" s="1"/>
  <c r="AF235" i="1"/>
  <c r="AE235" i="1"/>
  <c r="AE234" i="1" s="1"/>
  <c r="AE222" i="1" s="1"/>
  <c r="AC235" i="1"/>
  <c r="AA235" i="1"/>
  <c r="Z235" i="1"/>
  <c r="Y235" i="1"/>
  <c r="X235" i="1"/>
  <c r="T235" i="1"/>
  <c r="S235" i="1"/>
  <c r="Q235" i="1"/>
  <c r="Q234" i="1" s="1"/>
  <c r="P235" i="1"/>
  <c r="P234" i="1" s="1"/>
  <c r="O235" i="1"/>
  <c r="O234" i="1" s="1"/>
  <c r="V234" i="1" s="1"/>
  <c r="N235" i="1"/>
  <c r="L235" i="1"/>
  <c r="K235" i="1"/>
  <c r="K234" i="1" s="1"/>
  <c r="U234" i="1" s="1"/>
  <c r="J235" i="1"/>
  <c r="J234" i="1" s="1"/>
  <c r="I235" i="1"/>
  <c r="CD234" i="1"/>
  <c r="BQ234" i="1"/>
  <c r="BP234" i="1"/>
  <c r="BR234" i="1" s="1"/>
  <c r="BO234" i="1"/>
  <c r="BN234" i="1"/>
  <c r="BK234" i="1"/>
  <c r="BE234" i="1"/>
  <c r="BE222" i="1" s="1"/>
  <c r="BD234" i="1"/>
  <c r="BC234" i="1"/>
  <c r="BB234" i="1"/>
  <c r="AZ234" i="1"/>
  <c r="AY234" i="1"/>
  <c r="AX234" i="1"/>
  <c r="AV234" i="1"/>
  <c r="AN234" i="1"/>
  <c r="AL234" i="1"/>
  <c r="AI234" i="1"/>
  <c r="AH234" i="1"/>
  <c r="AF234" i="1"/>
  <c r="AC234" i="1"/>
  <c r="AB234" i="1"/>
  <c r="AA234" i="1"/>
  <c r="Z234" i="1"/>
  <c r="X234" i="1"/>
  <c r="S234" i="1"/>
  <c r="Y234" i="1" s="1"/>
  <c r="N234" i="1"/>
  <c r="M234" i="1"/>
  <c r="L234" i="1"/>
  <c r="I234" i="1"/>
  <c r="BV233" i="1"/>
  <c r="BR233" i="1"/>
  <c r="BQ233" i="1"/>
  <c r="BM233" i="1"/>
  <c r="BL233" i="1"/>
  <c r="BJ233" i="1"/>
  <c r="BI233" i="1"/>
  <c r="BG233" i="1"/>
  <c r="AY233" i="1"/>
  <c r="AX233" i="1"/>
  <c r="AW233" i="1"/>
  <c r="AO233" i="1"/>
  <c r="AN233" i="1"/>
  <c r="AM233" i="1"/>
  <c r="AJ233" i="1"/>
  <c r="AB233" i="1"/>
  <c r="AA233" i="1"/>
  <c r="Y233" i="1"/>
  <c r="V233" i="1"/>
  <c r="U233" i="1"/>
  <c r="T233" i="1"/>
  <c r="P233" i="1"/>
  <c r="BV232" i="1"/>
  <c r="BR232" i="1"/>
  <c r="BQ232" i="1"/>
  <c r="BM232" i="1"/>
  <c r="BL232" i="1"/>
  <c r="BJ232" i="1"/>
  <c r="BI232" i="1"/>
  <c r="BG232" i="1"/>
  <c r="AY232" i="1"/>
  <c r="AX232" i="1"/>
  <c r="AW232" i="1"/>
  <c r="AO232" i="1"/>
  <c r="AN232" i="1"/>
  <c r="AM232" i="1"/>
  <c r="AJ232" i="1"/>
  <c r="AB232" i="1"/>
  <c r="AA232" i="1"/>
  <c r="Y232" i="1"/>
  <c r="V232" i="1"/>
  <c r="U232" i="1"/>
  <c r="T232" i="1"/>
  <c r="BV231" i="1"/>
  <c r="BR231" i="1"/>
  <c r="BQ231" i="1"/>
  <c r="BM231" i="1"/>
  <c r="BL231" i="1"/>
  <c r="BJ231" i="1"/>
  <c r="BI231" i="1"/>
  <c r="BG231" i="1"/>
  <c r="AY231" i="1"/>
  <c r="AX231" i="1"/>
  <c r="AW231" i="1"/>
  <c r="AO231" i="1"/>
  <c r="AN231" i="1"/>
  <c r="AM231" i="1"/>
  <c r="AJ231" i="1"/>
  <c r="AB231" i="1"/>
  <c r="AA231" i="1"/>
  <c r="Y231" i="1"/>
  <c r="V231" i="1"/>
  <c r="U231" i="1"/>
  <c r="T231" i="1"/>
  <c r="P231" i="1"/>
  <c r="BV230" i="1"/>
  <c r="BR230" i="1"/>
  <c r="BQ230" i="1"/>
  <c r="BM230" i="1"/>
  <c r="BL230" i="1"/>
  <c r="BJ230" i="1"/>
  <c r="BI230" i="1"/>
  <c r="BG230" i="1"/>
  <c r="AY230" i="1"/>
  <c r="AX230" i="1"/>
  <c r="AW230" i="1"/>
  <c r="AO230" i="1"/>
  <c r="AN230" i="1"/>
  <c r="AM230" i="1"/>
  <c r="AJ230" i="1"/>
  <c r="AB230" i="1"/>
  <c r="AA230" i="1"/>
  <c r="Y230" i="1"/>
  <c r="V230" i="1"/>
  <c r="U230" i="1"/>
  <c r="T230" i="1"/>
  <c r="P230" i="1"/>
  <c r="BV229" i="1"/>
  <c r="BR229" i="1"/>
  <c r="BQ229" i="1"/>
  <c r="BM229" i="1"/>
  <c r="BL229" i="1"/>
  <c r="BJ229" i="1"/>
  <c r="BI229" i="1"/>
  <c r="BG229" i="1"/>
  <c r="AY229" i="1"/>
  <c r="AX229" i="1"/>
  <c r="AW229" i="1"/>
  <c r="AO229" i="1"/>
  <c r="AN229" i="1"/>
  <c r="AM229" i="1"/>
  <c r="AJ229" i="1"/>
  <c r="AB229" i="1"/>
  <c r="AA229" i="1"/>
  <c r="Y229" i="1"/>
  <c r="V229" i="1"/>
  <c r="U229" i="1"/>
  <c r="T229" i="1"/>
  <c r="BR228" i="1"/>
  <c r="BQ228" i="1"/>
  <c r="BM228" i="1"/>
  <c r="BL228" i="1"/>
  <c r="BL227" i="1" s="1"/>
  <c r="BL226" i="1" s="1"/>
  <c r="BJ228" i="1"/>
  <c r="BJ227" i="1" s="1"/>
  <c r="BJ226" i="1" s="1"/>
  <c r="BI228" i="1"/>
  <c r="BI227" i="1" s="1"/>
  <c r="BI226" i="1" s="1"/>
  <c r="BH228" i="1"/>
  <c r="BV228" i="1" s="1"/>
  <c r="BG228" i="1"/>
  <c r="AW228" i="1"/>
  <c r="AP228" i="1"/>
  <c r="AO228" i="1"/>
  <c r="AN228" i="1"/>
  <c r="AM228" i="1"/>
  <c r="AJ228" i="1"/>
  <c r="AH228" i="1"/>
  <c r="AH227" i="1" s="1"/>
  <c r="AH226" i="1" s="1"/>
  <c r="AC228" i="1"/>
  <c r="AA228" i="1"/>
  <c r="X228" i="1"/>
  <c r="T228" i="1"/>
  <c r="S228" i="1"/>
  <c r="R228" i="1"/>
  <c r="P228" i="1"/>
  <c r="P227" i="1" s="1"/>
  <c r="P226" i="1" s="1"/>
  <c r="N228" i="1"/>
  <c r="M228" i="1"/>
  <c r="CD227" i="1"/>
  <c r="CD226" i="1" s="1"/>
  <c r="BP227" i="1"/>
  <c r="BO227" i="1"/>
  <c r="BN227" i="1"/>
  <c r="BN226" i="1" s="1"/>
  <c r="BM227" i="1"/>
  <c r="BK227" i="1"/>
  <c r="BH227" i="1"/>
  <c r="BG227" i="1"/>
  <c r="BF227" i="1"/>
  <c r="BE227" i="1"/>
  <c r="BC227" i="1"/>
  <c r="BB227" i="1"/>
  <c r="BB226" i="1" s="1"/>
  <c r="BA227" i="1"/>
  <c r="AZ227" i="1"/>
  <c r="AZ226" i="1" s="1"/>
  <c r="AW227" i="1"/>
  <c r="AV227" i="1"/>
  <c r="AV226" i="1" s="1"/>
  <c r="AU227" i="1"/>
  <c r="AL227" i="1"/>
  <c r="AK227" i="1"/>
  <c r="AJ227" i="1"/>
  <c r="AI227" i="1"/>
  <c r="AG227" i="1"/>
  <c r="AF227" i="1"/>
  <c r="AF226" i="1" s="1"/>
  <c r="AE227" i="1"/>
  <c r="AC227" i="1"/>
  <c r="AA227" i="1"/>
  <c r="Z227" i="1"/>
  <c r="X227" i="1"/>
  <c r="X226" i="1" s="1"/>
  <c r="Q227" i="1"/>
  <c r="O227" i="1"/>
  <c r="N227" i="1"/>
  <c r="N226" i="1" s="1"/>
  <c r="M227" i="1"/>
  <c r="L227" i="1"/>
  <c r="L226" i="1" s="1"/>
  <c r="K227" i="1"/>
  <c r="J227" i="1"/>
  <c r="J226" i="1" s="1"/>
  <c r="J222" i="1" s="1"/>
  <c r="I227" i="1"/>
  <c r="BO226" i="1"/>
  <c r="BM226" i="1"/>
  <c r="BK226" i="1"/>
  <c r="BG226" i="1"/>
  <c r="BF226" i="1"/>
  <c r="BE226" i="1"/>
  <c r="BC226" i="1"/>
  <c r="BA226" i="1"/>
  <c r="AW226" i="1"/>
  <c r="AU226" i="1"/>
  <c r="AK226" i="1"/>
  <c r="AJ226" i="1"/>
  <c r="AI226" i="1"/>
  <c r="AG226" i="1"/>
  <c r="AE226" i="1"/>
  <c r="AC226" i="1"/>
  <c r="AA226" i="1"/>
  <c r="Q226" i="1"/>
  <c r="Q222" i="1" s="1"/>
  <c r="O226" i="1"/>
  <c r="M226" i="1"/>
  <c r="K226" i="1"/>
  <c r="I226" i="1"/>
  <c r="BR225" i="1"/>
  <c r="BQ225" i="1"/>
  <c r="BM225" i="1"/>
  <c r="BM224" i="1" s="1"/>
  <c r="BM223" i="1" s="1"/>
  <c r="BJ225" i="1"/>
  <c r="BI225" i="1"/>
  <c r="BH225" i="1"/>
  <c r="BG225" i="1"/>
  <c r="BD225" i="1"/>
  <c r="BD224" i="1" s="1"/>
  <c r="BB225" i="1"/>
  <c r="BB224" i="1" s="1"/>
  <c r="BB223" i="1" s="1"/>
  <c r="BA225" i="1"/>
  <c r="AZ225" i="1"/>
  <c r="BD228" i="1" s="1"/>
  <c r="BD227" i="1" s="1"/>
  <c r="BD226" i="1" s="1"/>
  <c r="AX225" i="1"/>
  <c r="AW225" i="1"/>
  <c r="AT225" i="1"/>
  <c r="AY225" i="1" s="1"/>
  <c r="AY224" i="1" s="1"/>
  <c r="AY223" i="1" s="1"/>
  <c r="AO225" i="1"/>
  <c r="AN225" i="1"/>
  <c r="AM225" i="1"/>
  <c r="AJ225" i="1"/>
  <c r="AH225" i="1"/>
  <c r="AD225" i="1"/>
  <c r="AB225" i="1"/>
  <c r="AA225" i="1"/>
  <c r="Y225" i="1"/>
  <c r="X225" i="1"/>
  <c r="T225" i="1"/>
  <c r="S225" i="1"/>
  <c r="V225" i="1" s="1"/>
  <c r="R225" i="1"/>
  <c r="N225" i="1"/>
  <c r="N224" i="1" s="1"/>
  <c r="M225" i="1"/>
  <c r="M224" i="1" s="1"/>
  <c r="M223" i="1" s="1"/>
  <c r="CD224" i="1"/>
  <c r="BR224" i="1"/>
  <c r="BP224" i="1"/>
  <c r="BO224" i="1"/>
  <c r="BO223" i="1" s="1"/>
  <c r="BN224" i="1"/>
  <c r="BK224" i="1"/>
  <c r="BQ224" i="1" s="1"/>
  <c r="BJ224" i="1"/>
  <c r="BI224" i="1"/>
  <c r="BG224" i="1"/>
  <c r="BF224" i="1"/>
  <c r="BF223" i="1" s="1"/>
  <c r="BE224" i="1"/>
  <c r="BA224" i="1"/>
  <c r="AZ224" i="1"/>
  <c r="AZ223" i="1" s="1"/>
  <c r="AX224" i="1"/>
  <c r="AX223" i="1" s="1"/>
  <c r="AW224" i="1"/>
  <c r="AV224" i="1"/>
  <c r="AU224" i="1"/>
  <c r="AT224" i="1"/>
  <c r="AL224" i="1"/>
  <c r="AK224" i="1"/>
  <c r="AI224" i="1"/>
  <c r="AH224" i="1"/>
  <c r="AH223" i="1" s="1"/>
  <c r="AG224" i="1"/>
  <c r="AF224" i="1"/>
  <c r="AE224" i="1"/>
  <c r="AD224" i="1"/>
  <c r="AC224" i="1"/>
  <c r="AB224" i="1"/>
  <c r="AA224" i="1"/>
  <c r="Z224" i="1"/>
  <c r="X224" i="1"/>
  <c r="U224" i="1"/>
  <c r="S224" i="1"/>
  <c r="Q224" i="1"/>
  <c r="P224" i="1"/>
  <c r="O224" i="1"/>
  <c r="V224" i="1" s="1"/>
  <c r="L224" i="1"/>
  <c r="K224" i="1"/>
  <c r="J224" i="1"/>
  <c r="I224" i="1"/>
  <c r="I223" i="1" s="1"/>
  <c r="I222" i="1" s="1"/>
  <c r="CD223" i="1"/>
  <c r="CD222" i="1" s="1"/>
  <c r="BP223" i="1"/>
  <c r="BR223" i="1" s="1"/>
  <c r="BN223" i="1"/>
  <c r="BN222" i="1" s="1"/>
  <c r="BK223" i="1"/>
  <c r="BJ223" i="1"/>
  <c r="BI223" i="1"/>
  <c r="BG223" i="1"/>
  <c r="BE223" i="1"/>
  <c r="BD223" i="1"/>
  <c r="BA223" i="1"/>
  <c r="AW223" i="1"/>
  <c r="AV223" i="1"/>
  <c r="BW223" i="1" s="1"/>
  <c r="BW224" i="1" s="1"/>
  <c r="AU223" i="1"/>
  <c r="AT223" i="1"/>
  <c r="AK223" i="1"/>
  <c r="AI223" i="1"/>
  <c r="AG223" i="1"/>
  <c r="AF223" i="1"/>
  <c r="AF222" i="1" s="1"/>
  <c r="AE223" i="1"/>
  <c r="AD223" i="1"/>
  <c r="AC223" i="1"/>
  <c r="AC222" i="1" s="1"/>
  <c r="AB223" i="1"/>
  <c r="AA223" i="1"/>
  <c r="AA222" i="1" s="1"/>
  <c r="Z223" i="1"/>
  <c r="S223" i="1"/>
  <c r="U223" i="1" s="1"/>
  <c r="Q223" i="1"/>
  <c r="P223" i="1"/>
  <c r="N223" i="1"/>
  <c r="L223" i="1"/>
  <c r="K223" i="1"/>
  <c r="J223" i="1"/>
  <c r="BA222" i="1"/>
  <c r="AZ222" i="1"/>
  <c r="AK222" i="1"/>
  <c r="AG222" i="1"/>
  <c r="K222" i="1"/>
  <c r="BV221" i="1"/>
  <c r="BR221" i="1"/>
  <c r="BQ221" i="1"/>
  <c r="BM221" i="1"/>
  <c r="BL221" i="1"/>
  <c r="BJ221" i="1"/>
  <c r="BI221" i="1"/>
  <c r="BG221" i="1"/>
  <c r="AY221" i="1"/>
  <c r="AX221" i="1"/>
  <c r="AW221" i="1"/>
  <c r="AO221" i="1"/>
  <c r="AN221" i="1"/>
  <c r="AM221" i="1"/>
  <c r="AJ221" i="1"/>
  <c r="AB221" i="1"/>
  <c r="AA221" i="1"/>
  <c r="Y221" i="1"/>
  <c r="V221" i="1"/>
  <c r="U221" i="1"/>
  <c r="T221" i="1"/>
  <c r="P221" i="1"/>
  <c r="BV220" i="1"/>
  <c r="BR220" i="1"/>
  <c r="BQ220" i="1"/>
  <c r="BM220" i="1"/>
  <c r="BL220" i="1"/>
  <c r="BJ220" i="1"/>
  <c r="BI220" i="1"/>
  <c r="BG220" i="1"/>
  <c r="AY220" i="1"/>
  <c r="AX220" i="1"/>
  <c r="AW220" i="1"/>
  <c r="AO220" i="1"/>
  <c r="AN220" i="1"/>
  <c r="AM220" i="1"/>
  <c r="AJ220" i="1"/>
  <c r="AB220" i="1"/>
  <c r="AA220" i="1"/>
  <c r="Y220" i="1"/>
  <c r="V220" i="1"/>
  <c r="U220" i="1"/>
  <c r="T220" i="1"/>
  <c r="P220" i="1"/>
  <c r="BV219" i="1"/>
  <c r="BR219" i="1"/>
  <c r="BQ219" i="1"/>
  <c r="BM219" i="1"/>
  <c r="BL219" i="1"/>
  <c r="BJ219" i="1"/>
  <c r="BI219" i="1"/>
  <c r="BG219" i="1"/>
  <c r="AY219" i="1"/>
  <c r="AX219" i="1"/>
  <c r="AW219" i="1"/>
  <c r="AO219" i="1"/>
  <c r="AN219" i="1"/>
  <c r="AM219" i="1"/>
  <c r="AJ219" i="1"/>
  <c r="AB219" i="1"/>
  <c r="AA219" i="1"/>
  <c r="Y219" i="1"/>
  <c r="V219" i="1"/>
  <c r="U219" i="1"/>
  <c r="T219" i="1"/>
  <c r="P219" i="1"/>
  <c r="BV218" i="1"/>
  <c r="BR218" i="1"/>
  <c r="BQ218" i="1"/>
  <c r="BM218" i="1"/>
  <c r="BL218" i="1"/>
  <c r="BJ218" i="1"/>
  <c r="BI218" i="1"/>
  <c r="BG218" i="1"/>
  <c r="AY218" i="1"/>
  <c r="AX218" i="1"/>
  <c r="AW218" i="1"/>
  <c r="AO218" i="1"/>
  <c r="AN218" i="1"/>
  <c r="AM218" i="1"/>
  <c r="AJ218" i="1"/>
  <c r="AB218" i="1"/>
  <c r="AA218" i="1"/>
  <c r="Y218" i="1"/>
  <c r="V218" i="1"/>
  <c r="U218" i="1"/>
  <c r="T218" i="1"/>
  <c r="P218" i="1"/>
  <c r="BV217" i="1"/>
  <c r="BR217" i="1"/>
  <c r="BQ217" i="1"/>
  <c r="BM217" i="1"/>
  <c r="BL217" i="1"/>
  <c r="BJ217" i="1"/>
  <c r="BI217" i="1"/>
  <c r="BG217" i="1"/>
  <c r="AY217" i="1"/>
  <c r="AX217" i="1"/>
  <c r="AW217" i="1"/>
  <c r="AO217" i="1"/>
  <c r="AN217" i="1"/>
  <c r="AM217" i="1"/>
  <c r="AJ217" i="1"/>
  <c r="AB217" i="1"/>
  <c r="AA217" i="1"/>
  <c r="Y217" i="1"/>
  <c r="V217" i="1"/>
  <c r="U217" i="1"/>
  <c r="T217" i="1"/>
  <c r="P217" i="1"/>
  <c r="BV216" i="1"/>
  <c r="BR216" i="1"/>
  <c r="BQ216" i="1"/>
  <c r="BM216" i="1"/>
  <c r="BL216" i="1"/>
  <c r="BJ216" i="1"/>
  <c r="BI216" i="1"/>
  <c r="BG216" i="1"/>
  <c r="AY216" i="1"/>
  <c r="AX216" i="1"/>
  <c r="AW216" i="1"/>
  <c r="AO216" i="1"/>
  <c r="AN216" i="1"/>
  <c r="AM216" i="1"/>
  <c r="AJ216" i="1"/>
  <c r="AB216" i="1"/>
  <c r="AA216" i="1"/>
  <c r="Y216" i="1"/>
  <c r="V216" i="1"/>
  <c r="U216" i="1"/>
  <c r="T216" i="1"/>
  <c r="P216" i="1"/>
  <c r="BV215" i="1"/>
  <c r="BR215" i="1"/>
  <c r="BQ215" i="1"/>
  <c r="BM215" i="1"/>
  <c r="BL215" i="1"/>
  <c r="BJ215" i="1"/>
  <c r="BI215" i="1"/>
  <c r="BG215" i="1"/>
  <c r="AY215" i="1"/>
  <c r="AX215" i="1"/>
  <c r="AW215" i="1"/>
  <c r="AO215" i="1"/>
  <c r="AN215" i="1"/>
  <c r="AM215" i="1"/>
  <c r="AJ215" i="1"/>
  <c r="AB215" i="1"/>
  <c r="AA215" i="1"/>
  <c r="Y215" i="1"/>
  <c r="V215" i="1"/>
  <c r="U215" i="1"/>
  <c r="T215" i="1"/>
  <c r="P215" i="1"/>
  <c r="BV214" i="1"/>
  <c r="BR214" i="1"/>
  <c r="BQ214" i="1"/>
  <c r="BM214" i="1"/>
  <c r="BL214" i="1"/>
  <c r="BJ214" i="1"/>
  <c r="BI214" i="1"/>
  <c r="BG214" i="1"/>
  <c r="AY214" i="1"/>
  <c r="AO214" i="1"/>
  <c r="AN214" i="1"/>
  <c r="AM214" i="1"/>
  <c r="AH214" i="1"/>
  <c r="AJ214" i="1" s="1"/>
  <c r="Z214" i="1"/>
  <c r="AB214" i="1" s="1"/>
  <c r="Y214" i="1"/>
  <c r="V214" i="1"/>
  <c r="U214" i="1"/>
  <c r="T214" i="1"/>
  <c r="P214" i="1"/>
  <c r="AY213" i="1"/>
  <c r="AX213" i="1"/>
  <c r="AT213" i="1"/>
  <c r="AV213" i="1" s="1"/>
  <c r="AN213" i="1"/>
  <c r="AM213" i="1"/>
  <c r="AL213" i="1"/>
  <c r="AJ213" i="1"/>
  <c r="AI213" i="1"/>
  <c r="AO213" i="1" s="1"/>
  <c r="AH213" i="1"/>
  <c r="AB213" i="1"/>
  <c r="AA213" i="1"/>
  <c r="X213" i="1"/>
  <c r="Y213" i="1" s="1"/>
  <c r="V213" i="1"/>
  <c r="S213" i="1"/>
  <c r="U213" i="1" s="1"/>
  <c r="O213" i="1"/>
  <c r="N213" i="1"/>
  <c r="P213" i="1" s="1"/>
  <c r="M213" i="1"/>
  <c r="BP212" i="1"/>
  <c r="BQ212" i="1" s="1"/>
  <c r="BJ212" i="1"/>
  <c r="BF212" i="1"/>
  <c r="BH212" i="1" s="1"/>
  <c r="BL212" i="1" s="1"/>
  <c r="AX212" i="1"/>
  <c r="AW212" i="1"/>
  <c r="AT212" i="1"/>
  <c r="AV212" i="1" s="1"/>
  <c r="AO212" i="1"/>
  <c r="AL212" i="1"/>
  <c r="AN212" i="1" s="1"/>
  <c r="AI212" i="1"/>
  <c r="AH212" i="1"/>
  <c r="AJ212" i="1" s="1"/>
  <c r="AA212" i="1"/>
  <c r="Y212" i="1"/>
  <c r="X212" i="1"/>
  <c r="V212" i="1"/>
  <c r="U212" i="1"/>
  <c r="S212" i="1"/>
  <c r="T212" i="1" s="1"/>
  <c r="O212" i="1"/>
  <c r="N212" i="1"/>
  <c r="P212" i="1" s="1"/>
  <c r="M212" i="1"/>
  <c r="BR211" i="1"/>
  <c r="AY211" i="1"/>
  <c r="AX211" i="1"/>
  <c r="AV211" i="1"/>
  <c r="AN211" i="1"/>
  <c r="AM211" i="1"/>
  <c r="AI211" i="1"/>
  <c r="AO211" i="1" s="1"/>
  <c r="AH211" i="1"/>
  <c r="AJ211" i="1" s="1"/>
  <c r="AA211" i="1"/>
  <c r="Y211" i="1"/>
  <c r="U211" i="1"/>
  <c r="T211" i="1"/>
  <c r="S211" i="1"/>
  <c r="AB211" i="1" s="1"/>
  <c r="P211" i="1"/>
  <c r="BV210" i="1"/>
  <c r="BQ210" i="1"/>
  <c r="BL210" i="1"/>
  <c r="BJ210" i="1"/>
  <c r="BH210" i="1"/>
  <c r="BG210" i="1"/>
  <c r="AY210" i="1"/>
  <c r="AV210" i="1"/>
  <c r="AU210" i="1"/>
  <c r="AM210" i="1"/>
  <c r="AA210" i="1"/>
  <c r="Z210" i="1"/>
  <c r="Y210" i="1"/>
  <c r="V210" i="1"/>
  <c r="U210" i="1"/>
  <c r="T210" i="1"/>
  <c r="P210" i="1"/>
  <c r="BQ209" i="1"/>
  <c r="BM209" i="1"/>
  <c r="BI209" i="1"/>
  <c r="BG209" i="1"/>
  <c r="BF209" i="1"/>
  <c r="AY209" i="1"/>
  <c r="AX209" i="1"/>
  <c r="AW209" i="1"/>
  <c r="AV209" i="1"/>
  <c r="BR209" i="1" s="1"/>
  <c r="AN209" i="1"/>
  <c r="AJ209" i="1"/>
  <c r="AI209" i="1"/>
  <c r="AH209" i="1"/>
  <c r="AB209" i="1"/>
  <c r="AA209" i="1"/>
  <c r="Y209" i="1"/>
  <c r="V209" i="1"/>
  <c r="U209" i="1"/>
  <c r="T209" i="1"/>
  <c r="P209" i="1"/>
  <c r="O209" i="1"/>
  <c r="N209" i="1"/>
  <c r="M209" i="1"/>
  <c r="M207" i="1" s="1"/>
  <c r="M206" i="1" s="1"/>
  <c r="BV208" i="1"/>
  <c r="BR208" i="1"/>
  <c r="BJ208" i="1"/>
  <c r="BI208" i="1"/>
  <c r="BH208" i="1"/>
  <c r="BK208" i="1" s="1"/>
  <c r="BG208" i="1"/>
  <c r="BF208" i="1"/>
  <c r="AY208" i="1"/>
  <c r="AY207" i="1" s="1"/>
  <c r="AX208" i="1"/>
  <c r="AX207" i="1" s="1"/>
  <c r="AX206" i="1" s="1"/>
  <c r="AW208" i="1"/>
  <c r="AT208" i="1"/>
  <c r="AT207" i="1" s="1"/>
  <c r="AT206" i="1" s="1"/>
  <c r="AO208" i="1"/>
  <c r="AN208" i="1"/>
  <c r="AM208" i="1"/>
  <c r="AJ208" i="1"/>
  <c r="AH208" i="1"/>
  <c r="AA208" i="1"/>
  <c r="S208" i="1"/>
  <c r="N208" i="1"/>
  <c r="P208" i="1" s="1"/>
  <c r="M208" i="1"/>
  <c r="CD207" i="1"/>
  <c r="CD206" i="1" s="1"/>
  <c r="BP207" i="1"/>
  <c r="BO207" i="1"/>
  <c r="BN207" i="1"/>
  <c r="BE207" i="1"/>
  <c r="BE206" i="1" s="1"/>
  <c r="BD207" i="1"/>
  <c r="BD206" i="1" s="1"/>
  <c r="BC207" i="1"/>
  <c r="BB207" i="1"/>
  <c r="BA207" i="1"/>
  <c r="BA206" i="1" s="1"/>
  <c r="AZ207" i="1"/>
  <c r="AU207" i="1"/>
  <c r="AU206" i="1" s="1"/>
  <c r="AL207" i="1"/>
  <c r="AK207" i="1"/>
  <c r="AK206" i="1" s="1"/>
  <c r="AG207" i="1"/>
  <c r="AF207" i="1"/>
  <c r="AF206" i="1" s="1"/>
  <c r="AE207" i="1"/>
  <c r="AE206" i="1" s="1"/>
  <c r="AD207" i="1"/>
  <c r="AC207" i="1"/>
  <c r="AC206" i="1" s="1"/>
  <c r="Q207" i="1"/>
  <c r="Q206" i="1" s="1"/>
  <c r="N207" i="1"/>
  <c r="N206" i="1" s="1"/>
  <c r="L207" i="1"/>
  <c r="K207" i="1"/>
  <c r="K206" i="1" s="1"/>
  <c r="J207" i="1"/>
  <c r="I207" i="1"/>
  <c r="BO206" i="1"/>
  <c r="BN206" i="1"/>
  <c r="BC206" i="1"/>
  <c r="BB206" i="1"/>
  <c r="AZ206" i="1"/>
  <c r="AY206" i="1"/>
  <c r="AL206" i="1"/>
  <c r="AG206" i="1"/>
  <c r="AD206" i="1"/>
  <c r="L206" i="1"/>
  <c r="J206" i="1"/>
  <c r="I206" i="1"/>
  <c r="BQ205" i="1"/>
  <c r="BL205" i="1"/>
  <c r="BJ205" i="1"/>
  <c r="AY205" i="1"/>
  <c r="AV205" i="1"/>
  <c r="AU205" i="1"/>
  <c r="AM205" i="1"/>
  <c r="AA205" i="1"/>
  <c r="Z205" i="1"/>
  <c r="Y205" i="1"/>
  <c r="V205" i="1"/>
  <c r="U205" i="1"/>
  <c r="T205" i="1"/>
  <c r="P205" i="1"/>
  <c r="BV204" i="1"/>
  <c r="BQ204" i="1"/>
  <c r="BL204" i="1"/>
  <c r="BJ204" i="1"/>
  <c r="BI204" i="1"/>
  <c r="AY204" i="1"/>
  <c r="AX204" i="1"/>
  <c r="AV204" i="1"/>
  <c r="BG204" i="1" s="1"/>
  <c r="AU204" i="1"/>
  <c r="AM204" i="1"/>
  <c r="AH204" i="1"/>
  <c r="AJ204" i="1" s="1"/>
  <c r="AB204" i="1"/>
  <c r="Z204" i="1"/>
  <c r="Y204" i="1"/>
  <c r="V204" i="1"/>
  <c r="U204" i="1"/>
  <c r="T204" i="1"/>
  <c r="P204" i="1"/>
  <c r="BV203" i="1"/>
  <c r="BR203" i="1"/>
  <c r="BQ203" i="1"/>
  <c r="BM203" i="1"/>
  <c r="BL203" i="1"/>
  <c r="BI203" i="1"/>
  <c r="BG203" i="1"/>
  <c r="AY203" i="1"/>
  <c r="AX203" i="1"/>
  <c r="AW203" i="1"/>
  <c r="AV203" i="1"/>
  <c r="AU203" i="1"/>
  <c r="BJ203" i="1" s="1"/>
  <c r="AO203" i="1"/>
  <c r="AM203" i="1"/>
  <c r="AJ203" i="1"/>
  <c r="AH203" i="1"/>
  <c r="AB203" i="1"/>
  <c r="AA203" i="1"/>
  <c r="Z203" i="1"/>
  <c r="AN203" i="1" s="1"/>
  <c r="Y203" i="1"/>
  <c r="V203" i="1"/>
  <c r="U203" i="1"/>
  <c r="T203" i="1"/>
  <c r="P203" i="1"/>
  <c r="BR202" i="1"/>
  <c r="BQ202" i="1"/>
  <c r="BL202" i="1"/>
  <c r="BJ202" i="1"/>
  <c r="BG202" i="1"/>
  <c r="AY202" i="1"/>
  <c r="AW202" i="1"/>
  <c r="AV202" i="1"/>
  <c r="BM202" i="1" s="1"/>
  <c r="AU202" i="1"/>
  <c r="AO202" i="1"/>
  <c r="AN202" i="1"/>
  <c r="AM202" i="1"/>
  <c r="AH202" i="1"/>
  <c r="Z202" i="1"/>
  <c r="AB202" i="1" s="1"/>
  <c r="Y202" i="1"/>
  <c r="V202" i="1"/>
  <c r="U202" i="1"/>
  <c r="T202" i="1"/>
  <c r="P202" i="1"/>
  <c r="AT201" i="1"/>
  <c r="AN201" i="1"/>
  <c r="AM201" i="1"/>
  <c r="AL201" i="1"/>
  <c r="AJ201" i="1"/>
  <c r="AI201" i="1"/>
  <c r="AO201" i="1" s="1"/>
  <c r="AH201" i="1"/>
  <c r="AB201" i="1"/>
  <c r="AA201" i="1"/>
  <c r="X201" i="1"/>
  <c r="Y201" i="1" s="1"/>
  <c r="V201" i="1"/>
  <c r="U201" i="1"/>
  <c r="T201" i="1"/>
  <c r="O201" i="1"/>
  <c r="N201" i="1"/>
  <c r="P201" i="1" s="1"/>
  <c r="AY200" i="1"/>
  <c r="AX200" i="1"/>
  <c r="AV200" i="1"/>
  <c r="AO200" i="1"/>
  <c r="AN200" i="1"/>
  <c r="AM200" i="1"/>
  <c r="AJ200" i="1"/>
  <c r="AI200" i="1"/>
  <c r="AH200" i="1"/>
  <c r="AB200" i="1"/>
  <c r="AA200" i="1"/>
  <c r="Y200" i="1"/>
  <c r="X200" i="1"/>
  <c r="U200" i="1"/>
  <c r="T200" i="1"/>
  <c r="O200" i="1"/>
  <c r="V200" i="1" s="1"/>
  <c r="N200" i="1"/>
  <c r="P200" i="1" s="1"/>
  <c r="BQ199" i="1"/>
  <c r="BH199" i="1"/>
  <c r="BV199" i="1" s="1"/>
  <c r="BG199" i="1"/>
  <c r="AY199" i="1"/>
  <c r="AX199" i="1"/>
  <c r="AV199" i="1"/>
  <c r="BF199" i="1" s="1"/>
  <c r="AO199" i="1"/>
  <c r="AN199" i="1"/>
  <c r="AM199" i="1"/>
  <c r="AJ199" i="1"/>
  <c r="AH199" i="1"/>
  <c r="AB199" i="1"/>
  <c r="AA199" i="1"/>
  <c r="X199" i="1"/>
  <c r="S199" i="1"/>
  <c r="O199" i="1"/>
  <c r="N199" i="1"/>
  <c r="P199" i="1" s="1"/>
  <c r="M199" i="1"/>
  <c r="BQ198" i="1"/>
  <c r="BM198" i="1"/>
  <c r="BF198" i="1"/>
  <c r="AY198" i="1"/>
  <c r="AX198" i="1"/>
  <c r="AV198" i="1"/>
  <c r="BG198" i="1" s="1"/>
  <c r="AO198" i="1"/>
  <c r="AN198" i="1"/>
  <c r="AM198" i="1"/>
  <c r="AH198" i="1"/>
  <c r="AJ198" i="1" s="1"/>
  <c r="AB198" i="1"/>
  <c r="AA198" i="1"/>
  <c r="Y198" i="1"/>
  <c r="X198" i="1"/>
  <c r="U198" i="1"/>
  <c r="T198" i="1"/>
  <c r="O198" i="1"/>
  <c r="V198" i="1" s="1"/>
  <c r="N198" i="1"/>
  <c r="M198" i="1"/>
  <c r="CD197" i="1"/>
  <c r="BP197" i="1"/>
  <c r="BO197" i="1"/>
  <c r="BN197" i="1"/>
  <c r="BN196" i="1" s="1"/>
  <c r="BE197" i="1"/>
  <c r="BE196" i="1" s="1"/>
  <c r="BD197" i="1"/>
  <c r="BC197" i="1"/>
  <c r="BB197" i="1"/>
  <c r="BB196" i="1" s="1"/>
  <c r="BA197" i="1"/>
  <c r="BA196" i="1" s="1"/>
  <c r="AZ197" i="1"/>
  <c r="AU197" i="1"/>
  <c r="AU196" i="1" s="1"/>
  <c r="AL197" i="1"/>
  <c r="AK197" i="1"/>
  <c r="AK196" i="1" s="1"/>
  <c r="AI197" i="1"/>
  <c r="AG197" i="1"/>
  <c r="AF197" i="1"/>
  <c r="AE197" i="1"/>
  <c r="AE196" i="1" s="1"/>
  <c r="AD197" i="1"/>
  <c r="AC197" i="1"/>
  <c r="AC196" i="1" s="1"/>
  <c r="S197" i="1"/>
  <c r="S196" i="1" s="1"/>
  <c r="Q197" i="1"/>
  <c r="Q196" i="1" s="1"/>
  <c r="M197" i="1"/>
  <c r="L197" i="1"/>
  <c r="L196" i="1" s="1"/>
  <c r="K197" i="1"/>
  <c r="K196" i="1" s="1"/>
  <c r="J197" i="1"/>
  <c r="I197" i="1"/>
  <c r="I196" i="1" s="1"/>
  <c r="I131" i="1" s="1"/>
  <c r="CD196" i="1"/>
  <c r="BP196" i="1"/>
  <c r="BO196" i="1"/>
  <c r="BD196" i="1"/>
  <c r="BC196" i="1"/>
  <c r="AZ196" i="1"/>
  <c r="AI196" i="1"/>
  <c r="AG196" i="1"/>
  <c r="AF196" i="1"/>
  <c r="AD196" i="1"/>
  <c r="M196" i="1"/>
  <c r="J196" i="1"/>
  <c r="BR195" i="1"/>
  <c r="BQ195" i="1"/>
  <c r="BK195" i="1"/>
  <c r="BM195" i="1" s="1"/>
  <c r="BM194" i="1" s="1"/>
  <c r="BI195" i="1"/>
  <c r="BI194" i="1" s="1"/>
  <c r="AY195" i="1"/>
  <c r="AX195" i="1"/>
  <c r="AW195" i="1"/>
  <c r="AW194" i="1" s="1"/>
  <c r="AV195" i="1"/>
  <c r="BV195" i="1" s="1"/>
  <c r="AU195" i="1"/>
  <c r="AO195" i="1"/>
  <c r="AN195" i="1"/>
  <c r="AM195" i="1"/>
  <c r="AJ195" i="1"/>
  <c r="AB195" i="1"/>
  <c r="AA195" i="1"/>
  <c r="Y195" i="1"/>
  <c r="V195" i="1"/>
  <c r="U195" i="1"/>
  <c r="T195" i="1"/>
  <c r="P195" i="1"/>
  <c r="CD194" i="1"/>
  <c r="CD179" i="1" s="1"/>
  <c r="BQ194" i="1"/>
  <c r="BP194" i="1"/>
  <c r="BO194" i="1"/>
  <c r="BN194" i="1"/>
  <c r="BK194" i="1"/>
  <c r="BH194" i="1"/>
  <c r="BF194" i="1"/>
  <c r="BE194" i="1"/>
  <c r="BD194" i="1"/>
  <c r="BD179" i="1" s="1"/>
  <c r="BC194" i="1"/>
  <c r="BB194" i="1"/>
  <c r="BA194" i="1"/>
  <c r="AZ194" i="1"/>
  <c r="AY194" i="1"/>
  <c r="AX194" i="1"/>
  <c r="AV194" i="1"/>
  <c r="BV194" i="1" s="1"/>
  <c r="AT194" i="1"/>
  <c r="AO194" i="1"/>
  <c r="AN194" i="1"/>
  <c r="AL194" i="1"/>
  <c r="AM194" i="1" s="1"/>
  <c r="AK194" i="1"/>
  <c r="AB194" i="1"/>
  <c r="Z194" i="1"/>
  <c r="AJ194" i="1" s="1"/>
  <c r="Y194" i="1"/>
  <c r="T194" i="1"/>
  <c r="Q194" i="1"/>
  <c r="P194" i="1"/>
  <c r="O194" i="1"/>
  <c r="V194" i="1" s="1"/>
  <c r="N194" i="1"/>
  <c r="M194" i="1"/>
  <c r="L194" i="1"/>
  <c r="K194" i="1"/>
  <c r="U194" i="1" s="1"/>
  <c r="J194" i="1"/>
  <c r="I194" i="1"/>
  <c r="AA194" i="1" s="1"/>
  <c r="BV193" i="1"/>
  <c r="BR193" i="1"/>
  <c r="BQ193" i="1"/>
  <c r="BM193" i="1"/>
  <c r="BL193" i="1"/>
  <c r="BJ193" i="1"/>
  <c r="BI193" i="1"/>
  <c r="BG193" i="1"/>
  <c r="AY193" i="1"/>
  <c r="AX193" i="1"/>
  <c r="AO193" i="1"/>
  <c r="AN193" i="1"/>
  <c r="AM193" i="1"/>
  <c r="AH193" i="1"/>
  <c r="AJ193" i="1" s="1"/>
  <c r="AB193" i="1"/>
  <c r="AA193" i="1"/>
  <c r="Z193" i="1"/>
  <c r="AW193" i="1" s="1"/>
  <c r="Y193" i="1"/>
  <c r="V193" i="1"/>
  <c r="U193" i="1"/>
  <c r="T193" i="1"/>
  <c r="P193" i="1"/>
  <c r="BV192" i="1"/>
  <c r="BR192" i="1"/>
  <c r="BQ192" i="1"/>
  <c r="BM192" i="1"/>
  <c r="BL192" i="1"/>
  <c r="BJ192" i="1"/>
  <c r="BI192" i="1"/>
  <c r="BG192" i="1"/>
  <c r="AY192" i="1"/>
  <c r="AX192" i="1"/>
  <c r="AW192" i="1"/>
  <c r="AO192" i="1"/>
  <c r="AN192" i="1"/>
  <c r="AM192" i="1"/>
  <c r="AJ192" i="1"/>
  <c r="AB192" i="1"/>
  <c r="Y192" i="1"/>
  <c r="T192" i="1"/>
  <c r="P192" i="1"/>
  <c r="O192" i="1"/>
  <c r="V192" i="1" s="1"/>
  <c r="N192" i="1"/>
  <c r="M192" i="1"/>
  <c r="L192" i="1"/>
  <c r="K192" i="1"/>
  <c r="U192" i="1" s="1"/>
  <c r="J192" i="1"/>
  <c r="I192" i="1"/>
  <c r="AA192" i="1" s="1"/>
  <c r="BV191" i="1"/>
  <c r="BR191" i="1"/>
  <c r="BQ191" i="1"/>
  <c r="BM191" i="1"/>
  <c r="BL191" i="1"/>
  <c r="BJ191" i="1"/>
  <c r="BI191" i="1"/>
  <c r="BG191" i="1"/>
  <c r="AY191" i="1"/>
  <c r="AX191" i="1"/>
  <c r="AW191" i="1"/>
  <c r="AO191" i="1"/>
  <c r="AN191" i="1"/>
  <c r="AM191" i="1"/>
  <c r="AJ191" i="1"/>
  <c r="AB191" i="1"/>
  <c r="AA191" i="1"/>
  <c r="Y191" i="1"/>
  <c r="V191" i="1"/>
  <c r="U191" i="1"/>
  <c r="T191" i="1"/>
  <c r="BQ190" i="1"/>
  <c r="BK190" i="1"/>
  <c r="BF190" i="1"/>
  <c r="AT190" i="1"/>
  <c r="AL190" i="1"/>
  <c r="AI190" i="1"/>
  <c r="AO190" i="1" s="1"/>
  <c r="AH190" i="1"/>
  <c r="AJ190" i="1" s="1"/>
  <c r="AA190" i="1"/>
  <c r="X190" i="1"/>
  <c r="S190" i="1"/>
  <c r="P190" i="1"/>
  <c r="O190" i="1"/>
  <c r="N190" i="1"/>
  <c r="M190" i="1"/>
  <c r="BH189" i="1"/>
  <c r="AY189" i="1"/>
  <c r="AV189" i="1"/>
  <c r="AU189" i="1"/>
  <c r="BJ189" i="1" s="1"/>
  <c r="AT189" i="1"/>
  <c r="AM189" i="1"/>
  <c r="AA189" i="1"/>
  <c r="Z189" i="1"/>
  <c r="AX189" i="1" s="1"/>
  <c r="Y189" i="1"/>
  <c r="V189" i="1"/>
  <c r="U189" i="1"/>
  <c r="T189" i="1"/>
  <c r="P189" i="1"/>
  <c r="M189" i="1"/>
  <c r="BR188" i="1"/>
  <c r="BI188" i="1"/>
  <c r="BH188" i="1"/>
  <c r="AY188" i="1"/>
  <c r="AV188" i="1"/>
  <c r="AU188" i="1"/>
  <c r="BJ188" i="1" s="1"/>
  <c r="AT188" i="1"/>
  <c r="AX188" i="1" s="1"/>
  <c r="AO188" i="1"/>
  <c r="AN188" i="1"/>
  <c r="AM188" i="1"/>
  <c r="AH188" i="1"/>
  <c r="AJ188" i="1" s="1"/>
  <c r="AB188" i="1"/>
  <c r="AA188" i="1"/>
  <c r="Z188" i="1"/>
  <c r="Y188" i="1"/>
  <c r="V188" i="1"/>
  <c r="U188" i="1"/>
  <c r="T188" i="1"/>
  <c r="P188" i="1"/>
  <c r="N188" i="1"/>
  <c r="BH187" i="1"/>
  <c r="AY187" i="1"/>
  <c r="AU187" i="1"/>
  <c r="BJ187" i="1" s="1"/>
  <c r="AT187" i="1"/>
  <c r="AO187" i="1"/>
  <c r="AM187" i="1"/>
  <c r="AA187" i="1"/>
  <c r="Z187" i="1"/>
  <c r="Y187" i="1"/>
  <c r="V187" i="1"/>
  <c r="U187" i="1"/>
  <c r="T187" i="1"/>
  <c r="P187" i="1"/>
  <c r="M187" i="1"/>
  <c r="BR186" i="1"/>
  <c r="BI186" i="1"/>
  <c r="BH186" i="1"/>
  <c r="BV186" i="1" s="1"/>
  <c r="BG186" i="1"/>
  <c r="AY186" i="1"/>
  <c r="AV186" i="1"/>
  <c r="AW186" i="1" s="1"/>
  <c r="AU186" i="1"/>
  <c r="AT186" i="1"/>
  <c r="AX186" i="1" s="1"/>
  <c r="AO186" i="1"/>
  <c r="AN186" i="1"/>
  <c r="AM186" i="1"/>
  <c r="AJ186" i="1"/>
  <c r="AH186" i="1"/>
  <c r="AB186" i="1"/>
  <c r="AA186" i="1"/>
  <c r="Z186" i="1"/>
  <c r="Y186" i="1"/>
  <c r="V186" i="1"/>
  <c r="U186" i="1"/>
  <c r="T186" i="1"/>
  <c r="P186" i="1"/>
  <c r="M186" i="1"/>
  <c r="BF185" i="1"/>
  <c r="AT185" i="1"/>
  <c r="AO185" i="1"/>
  <c r="AL185" i="1"/>
  <c r="AL180" i="1" s="1"/>
  <c r="AI185" i="1"/>
  <c r="AH185" i="1"/>
  <c r="AJ185" i="1" s="1"/>
  <c r="AB185" i="1"/>
  <c r="AA185" i="1"/>
  <c r="Y185" i="1"/>
  <c r="X185" i="1"/>
  <c r="V185" i="1"/>
  <c r="U185" i="1"/>
  <c r="T185" i="1"/>
  <c r="S185" i="1"/>
  <c r="N185" i="1"/>
  <c r="P185" i="1" s="1"/>
  <c r="M185" i="1"/>
  <c r="BL184" i="1"/>
  <c r="BK184" i="1"/>
  <c r="BQ184" i="1" s="1"/>
  <c r="BJ184" i="1"/>
  <c r="BH184" i="1"/>
  <c r="AU184" i="1"/>
  <c r="AT184" i="1"/>
  <c r="AO184" i="1"/>
  <c r="AN184" i="1"/>
  <c r="AM184" i="1"/>
  <c r="AB184" i="1"/>
  <c r="AA184" i="1"/>
  <c r="Z184" i="1"/>
  <c r="AH184" i="1" s="1"/>
  <c r="AJ184" i="1" s="1"/>
  <c r="Y184" i="1"/>
  <c r="V184" i="1"/>
  <c r="U184" i="1"/>
  <c r="T184" i="1"/>
  <c r="P184" i="1"/>
  <c r="M184" i="1"/>
  <c r="BQ183" i="1"/>
  <c r="BJ183" i="1"/>
  <c r="BH183" i="1"/>
  <c r="AO183" i="1"/>
  <c r="AN183" i="1"/>
  <c r="AM183" i="1"/>
  <c r="AL183" i="1"/>
  <c r="AT183" i="1" s="1"/>
  <c r="AJ183" i="1"/>
  <c r="AH183" i="1"/>
  <c r="AA183" i="1"/>
  <c r="X183" i="1"/>
  <c r="Y183" i="1" s="1"/>
  <c r="S183" i="1"/>
  <c r="O183" i="1"/>
  <c r="M183" i="1"/>
  <c r="N183" i="1" s="1"/>
  <c r="P183" i="1" s="1"/>
  <c r="BQ182" i="1"/>
  <c r="BL182" i="1"/>
  <c r="BJ182" i="1"/>
  <c r="AU182" i="1"/>
  <c r="AT182" i="1"/>
  <c r="AM182" i="1"/>
  <c r="AB182" i="1"/>
  <c r="AA182" i="1"/>
  <c r="Z182" i="1"/>
  <c r="Y182" i="1"/>
  <c r="V182" i="1"/>
  <c r="U182" i="1"/>
  <c r="T182" i="1"/>
  <c r="P182" i="1"/>
  <c r="M182" i="1"/>
  <c r="BL181" i="1"/>
  <c r="BK181" i="1"/>
  <c r="BQ181" i="1" s="1"/>
  <c r="BJ181" i="1"/>
  <c r="BI181" i="1"/>
  <c r="BH181" i="1"/>
  <c r="AY181" i="1"/>
  <c r="AX181" i="1"/>
  <c r="AW181" i="1"/>
  <c r="AV181" i="1"/>
  <c r="BR181" i="1" s="1"/>
  <c r="AN181" i="1"/>
  <c r="AJ181" i="1"/>
  <c r="AI181" i="1"/>
  <c r="AO181" i="1" s="1"/>
  <c r="AH181" i="1"/>
  <c r="AB181" i="1"/>
  <c r="AA181" i="1"/>
  <c r="X181" i="1"/>
  <c r="U181" i="1"/>
  <c r="T181" i="1"/>
  <c r="M181" i="1"/>
  <c r="N181" i="1" s="1"/>
  <c r="CD180" i="1"/>
  <c r="BP180" i="1"/>
  <c r="BO180" i="1"/>
  <c r="BN180" i="1"/>
  <c r="BE180" i="1"/>
  <c r="BE179" i="1" s="1"/>
  <c r="BD180" i="1"/>
  <c r="BC180" i="1"/>
  <c r="BB180" i="1"/>
  <c r="BA180" i="1"/>
  <c r="AZ180" i="1"/>
  <c r="AZ179" i="1" s="1"/>
  <c r="AK180" i="1"/>
  <c r="AI180" i="1"/>
  <c r="AG180" i="1"/>
  <c r="AF180" i="1"/>
  <c r="AF179" i="1" s="1"/>
  <c r="AE180" i="1"/>
  <c r="AD180" i="1"/>
  <c r="AD179" i="1" s="1"/>
  <c r="AC180" i="1"/>
  <c r="AC179" i="1" s="1"/>
  <c r="Q180" i="1"/>
  <c r="N180" i="1"/>
  <c r="L180" i="1"/>
  <c r="L179" i="1" s="1"/>
  <c r="K180" i="1"/>
  <c r="J180" i="1"/>
  <c r="J179" i="1" s="1"/>
  <c r="J131" i="1" s="1"/>
  <c r="I180" i="1"/>
  <c r="I179" i="1" s="1"/>
  <c r="BO179" i="1"/>
  <c r="BN179" i="1"/>
  <c r="BC179" i="1"/>
  <c r="BA179" i="1"/>
  <c r="AK179" i="1"/>
  <c r="AI179" i="1"/>
  <c r="AG179" i="1"/>
  <c r="AE179" i="1"/>
  <c r="Q179" i="1"/>
  <c r="N179" i="1"/>
  <c r="K179" i="1"/>
  <c r="BR178" i="1"/>
  <c r="BQ178" i="1"/>
  <c r="BM178" i="1"/>
  <c r="BJ178" i="1"/>
  <c r="BI178" i="1"/>
  <c r="BH178" i="1"/>
  <c r="BF178" i="1"/>
  <c r="AY178" i="1"/>
  <c r="AV178" i="1"/>
  <c r="BG178" i="1" s="1"/>
  <c r="AO178" i="1"/>
  <c r="AN178" i="1"/>
  <c r="AM178" i="1"/>
  <c r="AL178" i="1"/>
  <c r="AT178" i="1" s="1"/>
  <c r="AX178" i="1" s="1"/>
  <c r="AJ178" i="1"/>
  <c r="AI178" i="1"/>
  <c r="AH178" i="1"/>
  <c r="AB178" i="1"/>
  <c r="AA178" i="1"/>
  <c r="Y178" i="1"/>
  <c r="X178" i="1"/>
  <c r="U178" i="1"/>
  <c r="T178" i="1"/>
  <c r="P178" i="1"/>
  <c r="O178" i="1"/>
  <c r="V178" i="1" s="1"/>
  <c r="N178" i="1"/>
  <c r="M178" i="1"/>
  <c r="BQ177" i="1"/>
  <c r="BL177" i="1"/>
  <c r="BJ177" i="1"/>
  <c r="AT177" i="1"/>
  <c r="AP177" i="1"/>
  <c r="AO177" i="1"/>
  <c r="AN177" i="1"/>
  <c r="AM177" i="1"/>
  <c r="AJ177" i="1"/>
  <c r="AF177" i="1"/>
  <c r="AG177" i="1" s="1"/>
  <c r="AE177" i="1"/>
  <c r="AE170" i="1" s="1"/>
  <c r="AD177" i="1"/>
  <c r="AB177" i="1"/>
  <c r="AA177" i="1"/>
  <c r="Y177" i="1"/>
  <c r="V177" i="1"/>
  <c r="U177" i="1"/>
  <c r="T177" i="1"/>
  <c r="P177" i="1"/>
  <c r="M177" i="1"/>
  <c r="N177" i="1" s="1"/>
  <c r="BQ176" i="1"/>
  <c r="BH176" i="1"/>
  <c r="BF176" i="1"/>
  <c r="AO176" i="1"/>
  <c r="AM176" i="1"/>
  <c r="AL176" i="1"/>
  <c r="AN176" i="1" s="1"/>
  <c r="AI176" i="1"/>
  <c r="AH176" i="1"/>
  <c r="AJ176" i="1" s="1"/>
  <c r="AA176" i="1"/>
  <c r="X176" i="1"/>
  <c r="Y176" i="1" s="1"/>
  <c r="U176" i="1"/>
  <c r="S176" i="1"/>
  <c r="M176" i="1"/>
  <c r="N176" i="1" s="1"/>
  <c r="L176" i="1"/>
  <c r="BQ175" i="1"/>
  <c r="BK175" i="1"/>
  <c r="BF175" i="1"/>
  <c r="BJ175" i="1" s="1"/>
  <c r="AT175" i="1"/>
  <c r="AO175" i="1"/>
  <c r="AM175" i="1"/>
  <c r="AL175" i="1"/>
  <c r="AN175" i="1" s="1"/>
  <c r="AI175" i="1"/>
  <c r="AH175" i="1"/>
  <c r="AJ175" i="1" s="1"/>
  <c r="AA175" i="1"/>
  <c r="X175" i="1"/>
  <c r="U175" i="1"/>
  <c r="S175" i="1"/>
  <c r="P175" i="1"/>
  <c r="O175" i="1"/>
  <c r="N175" i="1"/>
  <c r="M175" i="1"/>
  <c r="BQ174" i="1"/>
  <c r="BK174" i="1"/>
  <c r="BH174" i="1"/>
  <c r="BF174" i="1"/>
  <c r="BJ174" i="1" s="1"/>
  <c r="AL174" i="1"/>
  <c r="AI174" i="1"/>
  <c r="AO174" i="1" s="1"/>
  <c r="AH174" i="1"/>
  <c r="AJ174" i="1" s="1"/>
  <c r="AB174" i="1"/>
  <c r="AA174" i="1"/>
  <c r="Y174" i="1"/>
  <c r="X174" i="1"/>
  <c r="V174" i="1"/>
  <c r="U174" i="1"/>
  <c r="T174" i="1"/>
  <c r="S174" i="1"/>
  <c r="M174" i="1"/>
  <c r="N174" i="1" s="1"/>
  <c r="P174" i="1" s="1"/>
  <c r="BQ173" i="1"/>
  <c r="BH173" i="1"/>
  <c r="BL173" i="1" s="1"/>
  <c r="BF173" i="1"/>
  <c r="BJ173" i="1" s="1"/>
  <c r="AY173" i="1"/>
  <c r="AV173" i="1"/>
  <c r="BG173" i="1" s="1"/>
  <c r="AO173" i="1"/>
  <c r="AN173" i="1"/>
  <c r="AM173" i="1"/>
  <c r="AL173" i="1"/>
  <c r="AT173" i="1" s="1"/>
  <c r="AX173" i="1" s="1"/>
  <c r="AI173" i="1"/>
  <c r="AH173" i="1"/>
  <c r="AJ173" i="1" s="1"/>
  <c r="AB173" i="1"/>
  <c r="AA173" i="1"/>
  <c r="X173" i="1"/>
  <c r="V173" i="1"/>
  <c r="U173" i="1"/>
  <c r="T173" i="1"/>
  <c r="M173" i="1"/>
  <c r="N173" i="1" s="1"/>
  <c r="P173" i="1" s="1"/>
  <c r="BQ172" i="1"/>
  <c r="BL172" i="1"/>
  <c r="BF172" i="1"/>
  <c r="AL172" i="1"/>
  <c r="AT172" i="1" s="1"/>
  <c r="AI172" i="1"/>
  <c r="AO172" i="1" s="1"/>
  <c r="AH172" i="1"/>
  <c r="AJ172" i="1" s="1"/>
  <c r="AB172" i="1"/>
  <c r="AA172" i="1"/>
  <c r="AA170" i="1" s="1"/>
  <c r="AA169" i="1" s="1"/>
  <c r="Y172" i="1"/>
  <c r="X172" i="1"/>
  <c r="V172" i="1"/>
  <c r="U172" i="1"/>
  <c r="T172" i="1"/>
  <c r="O172" i="1"/>
  <c r="M172" i="1"/>
  <c r="N172" i="1" s="1"/>
  <c r="P172" i="1" s="1"/>
  <c r="BQ171" i="1"/>
  <c r="BJ171" i="1"/>
  <c r="BH171" i="1"/>
  <c r="AL171" i="1"/>
  <c r="AJ171" i="1"/>
  <c r="AI171" i="1"/>
  <c r="AH171" i="1"/>
  <c r="AB171" i="1"/>
  <c r="AA171" i="1"/>
  <c r="X171" i="1"/>
  <c r="Y171" i="1" s="1"/>
  <c r="U171" i="1"/>
  <c r="T171" i="1"/>
  <c r="S171" i="1"/>
  <c r="M171" i="1"/>
  <c r="N171" i="1" s="1"/>
  <c r="CD170" i="1"/>
  <c r="CD169" i="1" s="1"/>
  <c r="BP170" i="1"/>
  <c r="BO170" i="1"/>
  <c r="BN170" i="1"/>
  <c r="BK170" i="1"/>
  <c r="BK169" i="1" s="1"/>
  <c r="BF170" i="1"/>
  <c r="BF169" i="1" s="1"/>
  <c r="BE170" i="1"/>
  <c r="BE169" i="1" s="1"/>
  <c r="BD170" i="1"/>
  <c r="BC170" i="1"/>
  <c r="BB170" i="1"/>
  <c r="BA170" i="1"/>
  <c r="AZ170" i="1"/>
  <c r="AU170" i="1"/>
  <c r="AK170" i="1"/>
  <c r="AG170" i="1"/>
  <c r="AF170" i="1"/>
  <c r="AD170" i="1"/>
  <c r="AD169" i="1" s="1"/>
  <c r="AC170" i="1"/>
  <c r="AC169" i="1" s="1"/>
  <c r="Z170" i="1"/>
  <c r="Q170" i="1"/>
  <c r="M170" i="1"/>
  <c r="M169" i="1" s="1"/>
  <c r="L170" i="1"/>
  <c r="K170" i="1"/>
  <c r="J170" i="1"/>
  <c r="I170" i="1"/>
  <c r="I169" i="1" s="1"/>
  <c r="BP169" i="1"/>
  <c r="BO169" i="1"/>
  <c r="BN169" i="1"/>
  <c r="BD169" i="1"/>
  <c r="BC169" i="1"/>
  <c r="BB169" i="1"/>
  <c r="BA169" i="1"/>
  <c r="AZ169" i="1"/>
  <c r="AU169" i="1"/>
  <c r="AK169" i="1"/>
  <c r="AG169" i="1"/>
  <c r="AF169" i="1"/>
  <c r="AE169" i="1"/>
  <c r="Z169" i="1"/>
  <c r="Q169" i="1"/>
  <c r="L169" i="1"/>
  <c r="K169" i="1"/>
  <c r="J169" i="1"/>
  <c r="BW168" i="1"/>
  <c r="BQ168" i="1"/>
  <c r="BM168" i="1"/>
  <c r="BJ168" i="1"/>
  <c r="BI168" i="1"/>
  <c r="BH168" i="1"/>
  <c r="AV168" i="1"/>
  <c r="BG168" i="1" s="1"/>
  <c r="AT168" i="1"/>
  <c r="AX168" i="1" s="1"/>
  <c r="AN168" i="1"/>
  <c r="AJ168" i="1"/>
  <c r="AI168" i="1"/>
  <c r="AH168" i="1"/>
  <c r="AB168" i="1"/>
  <c r="AD168" i="1" s="1"/>
  <c r="AA168" i="1"/>
  <c r="S168" i="1"/>
  <c r="Y168" i="1" s="1"/>
  <c r="Q168" i="1"/>
  <c r="P168" i="1"/>
  <c r="M168" i="1"/>
  <c r="AY167" i="1"/>
  <c r="AX167" i="1"/>
  <c r="AV167" i="1"/>
  <c r="AO167" i="1"/>
  <c r="AN167" i="1"/>
  <c r="AM167" i="1"/>
  <c r="AJ167" i="1"/>
  <c r="AH167" i="1"/>
  <c r="AB167" i="1"/>
  <c r="AA167" i="1"/>
  <c r="Y167" i="1"/>
  <c r="X167" i="1"/>
  <c r="V167" i="1"/>
  <c r="U167" i="1"/>
  <c r="T167" i="1"/>
  <c r="M167" i="1"/>
  <c r="N167" i="1" s="1"/>
  <c r="P167" i="1" s="1"/>
  <c r="BQ166" i="1"/>
  <c r="BP166" i="1"/>
  <c r="BJ166" i="1"/>
  <c r="BH166" i="1"/>
  <c r="AM166" i="1"/>
  <c r="AL166" i="1"/>
  <c r="AT166" i="1" s="1"/>
  <c r="AJ166" i="1"/>
  <c r="AI166" i="1"/>
  <c r="AO166" i="1" s="1"/>
  <c r="AH166" i="1"/>
  <c r="AA166" i="1"/>
  <c r="X166" i="1"/>
  <c r="Y166" i="1" s="1"/>
  <c r="O166" i="1"/>
  <c r="S166" i="1" s="1"/>
  <c r="N166" i="1"/>
  <c r="P166" i="1" s="1"/>
  <c r="M166" i="1"/>
  <c r="BQ165" i="1"/>
  <c r="BF165" i="1"/>
  <c r="BJ165" i="1" s="1"/>
  <c r="AO165" i="1"/>
  <c r="AL165" i="1"/>
  <c r="AM165" i="1" s="1"/>
  <c r="AJ165" i="1"/>
  <c r="AI165" i="1"/>
  <c r="AH165" i="1"/>
  <c r="AA165" i="1"/>
  <c r="X165" i="1"/>
  <c r="U165" i="1"/>
  <c r="S165" i="1"/>
  <c r="N165" i="1"/>
  <c r="P165" i="1" s="1"/>
  <c r="M165" i="1"/>
  <c r="BQ164" i="1"/>
  <c r="BF164" i="1"/>
  <c r="AY164" i="1"/>
  <c r="AX164" i="1"/>
  <c r="AV164" i="1"/>
  <c r="BG164" i="1" s="1"/>
  <c r="AT164" i="1"/>
  <c r="AN164" i="1"/>
  <c r="AM164" i="1"/>
  <c r="AL164" i="1"/>
  <c r="AI164" i="1"/>
  <c r="AO164" i="1" s="1"/>
  <c r="AH164" i="1"/>
  <c r="AJ164" i="1" s="1"/>
  <c r="AB164" i="1"/>
  <c r="AA164" i="1"/>
  <c r="X164" i="1"/>
  <c r="Y164" i="1" s="1"/>
  <c r="V164" i="1"/>
  <c r="U164" i="1"/>
  <c r="T164" i="1"/>
  <c r="O164" i="1"/>
  <c r="N164" i="1"/>
  <c r="P164" i="1" s="1"/>
  <c r="BQ163" i="1"/>
  <c r="BM163" i="1"/>
  <c r="BJ163" i="1"/>
  <c r="BI163" i="1"/>
  <c r="BH163" i="1"/>
  <c r="AV163" i="1"/>
  <c r="BG163" i="1" s="1"/>
  <c r="AT163" i="1"/>
  <c r="AX163" i="1" s="1"/>
  <c r="AN163" i="1"/>
  <c r="AJ163" i="1"/>
  <c r="AI163" i="1"/>
  <c r="AH163" i="1"/>
  <c r="AB163" i="1"/>
  <c r="AA163" i="1"/>
  <c r="X163" i="1"/>
  <c r="T163" i="1"/>
  <c r="S163" i="1"/>
  <c r="Q163" i="1"/>
  <c r="N163" i="1"/>
  <c r="P163" i="1" s="1"/>
  <c r="M163" i="1"/>
  <c r="BQ162" i="1"/>
  <c r="BF162" i="1"/>
  <c r="BH162" i="1" s="1"/>
  <c r="BL162" i="1" s="1"/>
  <c r="AT162" i="1"/>
  <c r="AO162" i="1"/>
  <c r="AN162" i="1"/>
  <c r="AL162" i="1"/>
  <c r="AM162" i="1" s="1"/>
  <c r="AI162" i="1"/>
  <c r="AH162" i="1"/>
  <c r="AJ162" i="1" s="1"/>
  <c r="AA162" i="1"/>
  <c r="X162" i="1"/>
  <c r="V162" i="1"/>
  <c r="U162" i="1"/>
  <c r="T162" i="1"/>
  <c r="S162" i="1"/>
  <c r="N162" i="1"/>
  <c r="O162" i="1" s="1"/>
  <c r="M162" i="1"/>
  <c r="BQ161" i="1"/>
  <c r="BJ161" i="1"/>
  <c r="BH161" i="1"/>
  <c r="BF161" i="1"/>
  <c r="AL161" i="1"/>
  <c r="AJ161" i="1"/>
  <c r="AI161" i="1"/>
  <c r="AH161" i="1"/>
  <c r="AD161" i="1"/>
  <c r="AA161" i="1"/>
  <c r="X161" i="1"/>
  <c r="Y161" i="1" s="1"/>
  <c r="U161" i="1"/>
  <c r="T161" i="1"/>
  <c r="S161" i="1"/>
  <c r="V161" i="1" s="1"/>
  <c r="N161" i="1"/>
  <c r="BQ160" i="1"/>
  <c r="BL160" i="1"/>
  <c r="BF160" i="1"/>
  <c r="AO160" i="1"/>
  <c r="AN160" i="1"/>
  <c r="AL160" i="1"/>
  <c r="AI160" i="1"/>
  <c r="AH160" i="1"/>
  <c r="AJ160" i="1" s="1"/>
  <c r="AA160" i="1"/>
  <c r="AA159" i="1" s="1"/>
  <c r="AA158" i="1" s="1"/>
  <c r="X160" i="1"/>
  <c r="U160" i="1"/>
  <c r="S160" i="1"/>
  <c r="P160" i="1"/>
  <c r="CD159" i="1"/>
  <c r="BP159" i="1"/>
  <c r="BO159" i="1"/>
  <c r="BN159" i="1"/>
  <c r="BE159" i="1"/>
  <c r="BD159" i="1"/>
  <c r="BC159" i="1"/>
  <c r="BB159" i="1"/>
  <c r="BA159" i="1"/>
  <c r="AZ159" i="1"/>
  <c r="AZ158" i="1" s="1"/>
  <c r="AU159" i="1"/>
  <c r="AU158" i="1" s="1"/>
  <c r="AK159" i="1"/>
  <c r="AG159" i="1"/>
  <c r="AF159" i="1"/>
  <c r="AE159" i="1"/>
  <c r="AE158" i="1" s="1"/>
  <c r="AC159" i="1"/>
  <c r="AC158" i="1" s="1"/>
  <c r="Z159" i="1"/>
  <c r="Q159" i="1"/>
  <c r="L159" i="1"/>
  <c r="K159" i="1"/>
  <c r="J159" i="1"/>
  <c r="J158" i="1" s="1"/>
  <c r="I159" i="1"/>
  <c r="CD158" i="1"/>
  <c r="BP158" i="1"/>
  <c r="BO158" i="1"/>
  <c r="BN158" i="1"/>
  <c r="BE158" i="1"/>
  <c r="BD158" i="1"/>
  <c r="BC158" i="1"/>
  <c r="BB158" i="1"/>
  <c r="BA158" i="1"/>
  <c r="AK158" i="1"/>
  <c r="AG158" i="1"/>
  <c r="AF158" i="1"/>
  <c r="AF131" i="1" s="1"/>
  <c r="Z158" i="1"/>
  <c r="Q158" i="1"/>
  <c r="L158" i="1"/>
  <c r="K158" i="1"/>
  <c r="I158" i="1"/>
  <c r="BQ157" i="1"/>
  <c r="BJ157" i="1"/>
  <c r="BH157" i="1"/>
  <c r="BF157" i="1"/>
  <c r="AT157" i="1"/>
  <c r="AL157" i="1"/>
  <c r="AI157" i="1"/>
  <c r="AH157" i="1"/>
  <c r="AJ157" i="1" s="1"/>
  <c r="AA157" i="1"/>
  <c r="X157" i="1"/>
  <c r="Q157" i="1"/>
  <c r="M157" i="1"/>
  <c r="N157" i="1" s="1"/>
  <c r="BR156" i="1"/>
  <c r="BQ156" i="1"/>
  <c r="BM156" i="1"/>
  <c r="BJ156" i="1"/>
  <c r="BI156" i="1"/>
  <c r="BH156" i="1"/>
  <c r="BG156" i="1"/>
  <c r="AY156" i="1"/>
  <c r="AX156" i="1"/>
  <c r="AW156" i="1"/>
  <c r="AT156" i="1"/>
  <c r="AM156" i="1"/>
  <c r="AA156" i="1"/>
  <c r="AH156" i="1" s="1"/>
  <c r="AJ156" i="1" s="1"/>
  <c r="Z156" i="1"/>
  <c r="Y156" i="1"/>
  <c r="V156" i="1"/>
  <c r="U156" i="1"/>
  <c r="T156" i="1"/>
  <c r="M156" i="1"/>
  <c r="N156" i="1" s="1"/>
  <c r="P156" i="1" s="1"/>
  <c r="BR155" i="1"/>
  <c r="BQ155" i="1"/>
  <c r="BM155" i="1"/>
  <c r="BL155" i="1"/>
  <c r="BJ155" i="1"/>
  <c r="BI155" i="1"/>
  <c r="BH155" i="1"/>
  <c r="BV155" i="1" s="1"/>
  <c r="BG155" i="1"/>
  <c r="AW155" i="1"/>
  <c r="AT155" i="1"/>
  <c r="AY155" i="1" s="1"/>
  <c r="AO155" i="1"/>
  <c r="AM155" i="1"/>
  <c r="AJ155" i="1"/>
  <c r="AB155" i="1"/>
  <c r="AA155" i="1"/>
  <c r="AH155" i="1" s="1"/>
  <c r="Z155" i="1"/>
  <c r="AN155" i="1" s="1"/>
  <c r="Y155" i="1"/>
  <c r="V155" i="1"/>
  <c r="U155" i="1"/>
  <c r="T155" i="1"/>
  <c r="M155" i="1"/>
  <c r="N155" i="1" s="1"/>
  <c r="P155" i="1" s="1"/>
  <c r="BV154" i="1"/>
  <c r="BR154" i="1"/>
  <c r="BQ154" i="1"/>
  <c r="BM154" i="1"/>
  <c r="BJ154" i="1"/>
  <c r="BI154" i="1"/>
  <c r="BH154" i="1"/>
  <c r="BL154" i="1" s="1"/>
  <c r="BG154" i="1"/>
  <c r="AW154" i="1"/>
  <c r="AT154" i="1"/>
  <c r="AO154" i="1"/>
  <c r="AN154" i="1"/>
  <c r="AM154" i="1"/>
  <c r="AA154" i="1"/>
  <c r="AH154" i="1" s="1"/>
  <c r="AJ154" i="1" s="1"/>
  <c r="Z154" i="1"/>
  <c r="AB154" i="1" s="1"/>
  <c r="Y154" i="1"/>
  <c r="V154" i="1"/>
  <c r="U154" i="1"/>
  <c r="T154" i="1"/>
  <c r="M154" i="1"/>
  <c r="N154" i="1" s="1"/>
  <c r="P154" i="1" s="1"/>
  <c r="BR153" i="1"/>
  <c r="BQ153" i="1"/>
  <c r="BM153" i="1"/>
  <c r="BJ153" i="1"/>
  <c r="BI153" i="1"/>
  <c r="BH153" i="1"/>
  <c r="BG153" i="1"/>
  <c r="AY153" i="1"/>
  <c r="AT153" i="1"/>
  <c r="AM153" i="1"/>
  <c r="Z153" i="1"/>
  <c r="Y153" i="1"/>
  <c r="V153" i="1"/>
  <c r="U153" i="1"/>
  <c r="T153" i="1"/>
  <c r="M153" i="1"/>
  <c r="N153" i="1" s="1"/>
  <c r="P153" i="1" s="1"/>
  <c r="BR152" i="1"/>
  <c r="BQ152" i="1"/>
  <c r="BM152" i="1"/>
  <c r="BJ152" i="1"/>
  <c r="BI152" i="1"/>
  <c r="BH152" i="1"/>
  <c r="BV152" i="1" s="1"/>
  <c r="BG152" i="1"/>
  <c r="AT152" i="1"/>
  <c r="AY152" i="1" s="1"/>
  <c r="AO152" i="1"/>
  <c r="AM152" i="1"/>
  <c r="AB152" i="1"/>
  <c r="AA152" i="1"/>
  <c r="AH152" i="1" s="1"/>
  <c r="Z152" i="1"/>
  <c r="AW152" i="1" s="1"/>
  <c r="Y152" i="1"/>
  <c r="V152" i="1"/>
  <c r="U152" i="1"/>
  <c r="T152" i="1"/>
  <c r="M152" i="1"/>
  <c r="BQ151" i="1"/>
  <c r="BF151" i="1"/>
  <c r="BJ151" i="1" s="1"/>
  <c r="AX151" i="1"/>
  <c r="AT151" i="1"/>
  <c r="AY151" i="1" s="1"/>
  <c r="AO151" i="1"/>
  <c r="AN151" i="1"/>
  <c r="AL151" i="1"/>
  <c r="AI151" i="1"/>
  <c r="AM151" i="1" s="1"/>
  <c r="AH151" i="1"/>
  <c r="AJ151" i="1" s="1"/>
  <c r="AA151" i="1"/>
  <c r="Y151" i="1"/>
  <c r="X151" i="1"/>
  <c r="U151" i="1"/>
  <c r="S151" i="1"/>
  <c r="T151" i="1" s="1"/>
  <c r="M151" i="1"/>
  <c r="N151" i="1" s="1"/>
  <c r="BQ150" i="1"/>
  <c r="BL150" i="1"/>
  <c r="BF150" i="1"/>
  <c r="BJ150" i="1" s="1"/>
  <c r="BE150" i="1"/>
  <c r="AT150" i="1"/>
  <c r="AO150" i="1"/>
  <c r="AN150" i="1"/>
  <c r="AL150" i="1"/>
  <c r="AM150" i="1" s="1"/>
  <c r="AI150" i="1"/>
  <c r="AH150" i="1"/>
  <c r="AJ150" i="1" s="1"/>
  <c r="AB150" i="1"/>
  <c r="AA150" i="1"/>
  <c r="Y150" i="1"/>
  <c r="X150" i="1"/>
  <c r="S150" i="1"/>
  <c r="U150" i="1" s="1"/>
  <c r="M150" i="1"/>
  <c r="N150" i="1" s="1"/>
  <c r="CD149" i="1"/>
  <c r="CD148" i="1" s="1"/>
  <c r="BP149" i="1"/>
  <c r="BO149" i="1"/>
  <c r="BN149" i="1"/>
  <c r="BK149" i="1"/>
  <c r="BF149" i="1"/>
  <c r="BE149" i="1"/>
  <c r="BD149" i="1"/>
  <c r="BC149" i="1"/>
  <c r="BB149" i="1"/>
  <c r="BA149" i="1"/>
  <c r="AZ149" i="1"/>
  <c r="AU149" i="1"/>
  <c r="AT149" i="1"/>
  <c r="AT148" i="1" s="1"/>
  <c r="AK149" i="1"/>
  <c r="AG149" i="1"/>
  <c r="AF149" i="1"/>
  <c r="AF148" i="1" s="1"/>
  <c r="AC149" i="1"/>
  <c r="L149" i="1"/>
  <c r="K149" i="1"/>
  <c r="J149" i="1"/>
  <c r="I149" i="1"/>
  <c r="BP148" i="1"/>
  <c r="BO148" i="1"/>
  <c r="BN148" i="1"/>
  <c r="BK148" i="1"/>
  <c r="BF148" i="1"/>
  <c r="BE148" i="1"/>
  <c r="BD148" i="1"/>
  <c r="BC148" i="1"/>
  <c r="BB148" i="1"/>
  <c r="BA148" i="1"/>
  <c r="AZ148" i="1"/>
  <c r="AU148" i="1"/>
  <c r="AK148" i="1"/>
  <c r="AG148" i="1"/>
  <c r="AC148" i="1"/>
  <c r="L148" i="1"/>
  <c r="K148" i="1"/>
  <c r="J148" i="1"/>
  <c r="I148" i="1"/>
  <c r="BV147" i="1"/>
  <c r="BR147" i="1"/>
  <c r="BQ147" i="1"/>
  <c r="BM147" i="1"/>
  <c r="BL147" i="1"/>
  <c r="BJ147" i="1"/>
  <c r="BI147" i="1"/>
  <c r="BG147" i="1"/>
  <c r="AY147" i="1"/>
  <c r="AX147" i="1"/>
  <c r="AW147" i="1"/>
  <c r="AO147" i="1"/>
  <c r="AN147" i="1"/>
  <c r="AM147" i="1"/>
  <c r="AJ147" i="1"/>
  <c r="AB147" i="1"/>
  <c r="AB146" i="1" s="1"/>
  <c r="AA147" i="1"/>
  <c r="AA146" i="1" s="1"/>
  <c r="Y147" i="1"/>
  <c r="V147" i="1"/>
  <c r="U147" i="1"/>
  <c r="T147" i="1"/>
  <c r="P147" i="1"/>
  <c r="BV146" i="1"/>
  <c r="BR146" i="1"/>
  <c r="BQ146" i="1"/>
  <c r="BM146" i="1"/>
  <c r="BL146" i="1"/>
  <c r="BJ146" i="1"/>
  <c r="BI146" i="1"/>
  <c r="BG146" i="1"/>
  <c r="AY146" i="1"/>
  <c r="AX146" i="1"/>
  <c r="AM146" i="1"/>
  <c r="AJ146" i="1"/>
  <c r="AI146" i="1"/>
  <c r="AH146" i="1"/>
  <c r="AG146" i="1"/>
  <c r="AF146" i="1"/>
  <c r="AE146" i="1"/>
  <c r="AD146" i="1"/>
  <c r="AD132" i="1" s="1"/>
  <c r="AC146" i="1"/>
  <c r="Z146" i="1"/>
  <c r="AW146" i="1" s="1"/>
  <c r="X146" i="1"/>
  <c r="T146" i="1"/>
  <c r="S146" i="1"/>
  <c r="Q146" i="1"/>
  <c r="P146" i="1"/>
  <c r="O146" i="1"/>
  <c r="N146" i="1"/>
  <c r="M146" i="1"/>
  <c r="L146" i="1"/>
  <c r="K146" i="1"/>
  <c r="J146" i="1"/>
  <c r="I146" i="1"/>
  <c r="BV145" i="1"/>
  <c r="BR145" i="1"/>
  <c r="BQ145" i="1"/>
  <c r="BM145" i="1"/>
  <c r="BL145" i="1"/>
  <c r="BJ145" i="1"/>
  <c r="BI145" i="1"/>
  <c r="BG145" i="1"/>
  <c r="AY145" i="1"/>
  <c r="AM145" i="1"/>
  <c r="AH145" i="1"/>
  <c r="AJ145" i="1" s="1"/>
  <c r="AB145" i="1"/>
  <c r="AA145" i="1"/>
  <c r="Z145" i="1"/>
  <c r="AX145" i="1" s="1"/>
  <c r="Y145" i="1"/>
  <c r="V145" i="1"/>
  <c r="U145" i="1"/>
  <c r="T145" i="1"/>
  <c r="P145" i="1"/>
  <c r="M145" i="1"/>
  <c r="BX144" i="1"/>
  <c r="BR144" i="1"/>
  <c r="BQ144" i="1"/>
  <c r="BJ144" i="1"/>
  <c r="BH144" i="1"/>
  <c r="BL144" i="1" s="1"/>
  <c r="AY144" i="1"/>
  <c r="AX144" i="1"/>
  <c r="AV144" i="1"/>
  <c r="AO144" i="1"/>
  <c r="AN144" i="1"/>
  <c r="AM144" i="1"/>
  <c r="AH144" i="1"/>
  <c r="AJ144" i="1" s="1"/>
  <c r="AB144" i="1"/>
  <c r="AA144" i="1"/>
  <c r="X144" i="1"/>
  <c r="Y144" i="1" s="1"/>
  <c r="V144" i="1"/>
  <c r="U144" i="1"/>
  <c r="T144" i="1"/>
  <c r="N144" i="1"/>
  <c r="P144" i="1" s="1"/>
  <c r="M144" i="1"/>
  <c r="BQ143" i="1"/>
  <c r="BH143" i="1"/>
  <c r="BG143" i="1"/>
  <c r="AY143" i="1"/>
  <c r="AX143" i="1"/>
  <c r="AV143" i="1"/>
  <c r="BR143" i="1" s="1"/>
  <c r="AU143" i="1"/>
  <c r="BJ143" i="1" s="1"/>
  <c r="AM143" i="1"/>
  <c r="AA143" i="1"/>
  <c r="Z143" i="1"/>
  <c r="Y143" i="1"/>
  <c r="V143" i="1"/>
  <c r="U143" i="1"/>
  <c r="T143" i="1"/>
  <c r="P143" i="1"/>
  <c r="M143" i="1"/>
  <c r="BQ142" i="1"/>
  <c r="BM142" i="1"/>
  <c r="BL142" i="1"/>
  <c r="BJ142" i="1"/>
  <c r="BI142" i="1"/>
  <c r="BH142" i="1"/>
  <c r="BV142" i="1" s="1"/>
  <c r="AY142" i="1"/>
  <c r="AX142" i="1"/>
  <c r="AV142" i="1"/>
  <c r="BG142" i="1" s="1"/>
  <c r="AO142" i="1"/>
  <c r="AN142" i="1"/>
  <c r="AM142" i="1"/>
  <c r="AH142" i="1"/>
  <c r="AJ142" i="1" s="1"/>
  <c r="AC142" i="1"/>
  <c r="AB142" i="1"/>
  <c r="AA142" i="1"/>
  <c r="Y142" i="1"/>
  <c r="V142" i="1"/>
  <c r="U142" i="1"/>
  <c r="T142" i="1"/>
  <c r="M142" i="1"/>
  <c r="N142" i="1" s="1"/>
  <c r="P142" i="1" s="1"/>
  <c r="BQ141" i="1"/>
  <c r="AY141" i="1"/>
  <c r="AX141" i="1"/>
  <c r="AV141" i="1"/>
  <c r="AO141" i="1"/>
  <c r="AN141" i="1"/>
  <c r="AI141" i="1"/>
  <c r="AM141" i="1" s="1"/>
  <c r="AH141" i="1"/>
  <c r="AJ141" i="1" s="1"/>
  <c r="AB141" i="1"/>
  <c r="AA141" i="1"/>
  <c r="X141" i="1"/>
  <c r="Y141" i="1" s="1"/>
  <c r="V141" i="1"/>
  <c r="U141" i="1"/>
  <c r="T141" i="1"/>
  <c r="M141" i="1"/>
  <c r="N141" i="1" s="1"/>
  <c r="P141" i="1" s="1"/>
  <c r="BQ140" i="1"/>
  <c r="BJ140" i="1"/>
  <c r="BI140" i="1"/>
  <c r="BH140" i="1"/>
  <c r="BV140" i="1" s="1"/>
  <c r="BG140" i="1"/>
  <c r="AY140" i="1"/>
  <c r="AV140" i="1"/>
  <c r="AW140" i="1" s="1"/>
  <c r="AU140" i="1"/>
  <c r="AM140" i="1"/>
  <c r="AH140" i="1"/>
  <c r="AJ140" i="1" s="1"/>
  <c r="AB140" i="1"/>
  <c r="AA140" i="1"/>
  <c r="Z140" i="1"/>
  <c r="AX140" i="1" s="1"/>
  <c r="Y140" i="1"/>
  <c r="V140" i="1"/>
  <c r="U140" i="1"/>
  <c r="T140" i="1"/>
  <c r="P140" i="1"/>
  <c r="O140" i="1"/>
  <c r="M140" i="1"/>
  <c r="BQ139" i="1"/>
  <c r="BH139" i="1"/>
  <c r="BL139" i="1" s="1"/>
  <c r="AV139" i="1"/>
  <c r="BV139" i="1" s="1"/>
  <c r="AU139" i="1"/>
  <c r="AT139" i="1"/>
  <c r="AO139" i="1"/>
  <c r="AM139" i="1"/>
  <c r="AB139" i="1"/>
  <c r="Z139" i="1"/>
  <c r="AN139" i="1" s="1"/>
  <c r="Y139" i="1"/>
  <c r="V139" i="1"/>
  <c r="U139" i="1"/>
  <c r="T139" i="1"/>
  <c r="P139" i="1"/>
  <c r="O139" i="1"/>
  <c r="M139" i="1"/>
  <c r="BJ138" i="1"/>
  <c r="BH138" i="1"/>
  <c r="BF138" i="1"/>
  <c r="AT138" i="1"/>
  <c r="AX138" i="1" s="1"/>
  <c r="AJ138" i="1"/>
  <c r="AI138" i="1"/>
  <c r="AO138" i="1" s="1"/>
  <c r="AH138" i="1"/>
  <c r="AB138" i="1"/>
  <c r="AA138" i="1"/>
  <c r="Y138" i="1"/>
  <c r="U138" i="1"/>
  <c r="T138" i="1"/>
  <c r="P138" i="1"/>
  <c r="O138" i="1"/>
  <c r="V138" i="1" s="1"/>
  <c r="M138" i="1"/>
  <c r="M133" i="1" s="1"/>
  <c r="M132" i="1" s="1"/>
  <c r="BV137" i="1"/>
  <c r="BR137" i="1"/>
  <c r="BQ137" i="1"/>
  <c r="BM137" i="1"/>
  <c r="BL137" i="1"/>
  <c r="BJ137" i="1"/>
  <c r="BI137" i="1"/>
  <c r="BG137" i="1"/>
  <c r="AY137" i="1"/>
  <c r="AX137" i="1"/>
  <c r="AW137" i="1"/>
  <c r="AO137" i="1"/>
  <c r="AN137" i="1"/>
  <c r="AM137" i="1"/>
  <c r="Z137" i="1"/>
  <c r="AH137" i="1" s="1"/>
  <c r="AJ137" i="1" s="1"/>
  <c r="Y137" i="1"/>
  <c r="U137" i="1"/>
  <c r="T137" i="1"/>
  <c r="P137" i="1"/>
  <c r="O137" i="1"/>
  <c r="V137" i="1" s="1"/>
  <c r="M137" i="1"/>
  <c r="BQ136" i="1"/>
  <c r="BJ136" i="1"/>
  <c r="BI136" i="1"/>
  <c r="BH136" i="1"/>
  <c r="BG136" i="1"/>
  <c r="AY136" i="1"/>
  <c r="AX136" i="1"/>
  <c r="AV136" i="1"/>
  <c r="AW136" i="1" s="1"/>
  <c r="AO136" i="1"/>
  <c r="AN136" i="1"/>
  <c r="AM136" i="1"/>
  <c r="AJ136" i="1"/>
  <c r="AH136" i="1"/>
  <c r="AE136" i="1"/>
  <c r="AB136" i="1"/>
  <c r="AA136" i="1"/>
  <c r="Y136" i="1"/>
  <c r="X136" i="1"/>
  <c r="S136" i="1"/>
  <c r="M136" i="1"/>
  <c r="BQ135" i="1"/>
  <c r="BJ135" i="1"/>
  <c r="BH135" i="1"/>
  <c r="BL135" i="1" s="1"/>
  <c r="BE135" i="1"/>
  <c r="AX135" i="1"/>
  <c r="AT135" i="1"/>
  <c r="AO135" i="1"/>
  <c r="AN135" i="1"/>
  <c r="AM135" i="1"/>
  <c r="AH135" i="1"/>
  <c r="AJ135" i="1" s="1"/>
  <c r="AE135" i="1"/>
  <c r="AB135" i="1"/>
  <c r="AA135" i="1"/>
  <c r="Y135" i="1"/>
  <c r="X135" i="1"/>
  <c r="AC135" i="1" s="1"/>
  <c r="V135" i="1"/>
  <c r="U135" i="1"/>
  <c r="T135" i="1"/>
  <c r="N135" i="1"/>
  <c r="P135" i="1" s="1"/>
  <c r="M135" i="1"/>
  <c r="BQ134" i="1"/>
  <c r="BL134" i="1"/>
  <c r="BJ134" i="1"/>
  <c r="BH134" i="1"/>
  <c r="AT134" i="1"/>
  <c r="AY134" i="1" s="1"/>
  <c r="AO134" i="1"/>
  <c r="AN134" i="1"/>
  <c r="AM134" i="1"/>
  <c r="AJ134" i="1"/>
  <c r="AP134" i="1" s="1"/>
  <c r="AH134" i="1"/>
  <c r="AE134" i="1"/>
  <c r="AE137" i="1" s="1"/>
  <c r="AE133" i="1" s="1"/>
  <c r="AE132" i="1" s="1"/>
  <c r="AD134" i="1"/>
  <c r="AB134" i="1"/>
  <c r="AA134" i="1"/>
  <c r="X134" i="1"/>
  <c r="Y134" i="1" s="1"/>
  <c r="V134" i="1"/>
  <c r="U134" i="1"/>
  <c r="T134" i="1"/>
  <c r="P134" i="1"/>
  <c r="N134" i="1"/>
  <c r="M134" i="1"/>
  <c r="CD133" i="1"/>
  <c r="BP133" i="1"/>
  <c r="BO133" i="1"/>
  <c r="BN133" i="1"/>
  <c r="BN132" i="1" s="1"/>
  <c r="BN131" i="1" s="1"/>
  <c r="BE133" i="1"/>
  <c r="BD133" i="1"/>
  <c r="BC133" i="1"/>
  <c r="BB133" i="1"/>
  <c r="BA133" i="1"/>
  <c r="BA132" i="1" s="1"/>
  <c r="BA131" i="1" s="1"/>
  <c r="AZ133" i="1"/>
  <c r="AK133" i="1"/>
  <c r="AI133" i="1"/>
  <c r="AO133" i="1" s="1"/>
  <c r="AG133" i="1"/>
  <c r="AG132" i="1" s="1"/>
  <c r="AG131" i="1" s="1"/>
  <c r="AF133" i="1"/>
  <c r="AD133" i="1"/>
  <c r="AC133" i="1"/>
  <c r="Z133" i="1"/>
  <c r="Y133" i="1"/>
  <c r="X133" i="1"/>
  <c r="S133" i="1"/>
  <c r="Q133" i="1"/>
  <c r="L133" i="1"/>
  <c r="K133" i="1"/>
  <c r="J133" i="1"/>
  <c r="I133" i="1"/>
  <c r="CD132" i="1"/>
  <c r="BP132" i="1"/>
  <c r="BO132" i="1"/>
  <c r="BE132" i="1"/>
  <c r="BE131" i="1" s="1"/>
  <c r="BD132" i="1"/>
  <c r="BC132" i="1"/>
  <c r="BB132" i="1"/>
  <c r="AZ132" i="1"/>
  <c r="AO132" i="1"/>
  <c r="AK132" i="1"/>
  <c r="AI132" i="1"/>
  <c r="AF132" i="1"/>
  <c r="AC132" i="1"/>
  <c r="AC131" i="1" s="1"/>
  <c r="Z132" i="1"/>
  <c r="X132" i="1"/>
  <c r="Y132" i="1" s="1"/>
  <c r="S132" i="1"/>
  <c r="Q132" i="1"/>
  <c r="L132" i="1"/>
  <c r="K132" i="1"/>
  <c r="J132" i="1"/>
  <c r="I132" i="1"/>
  <c r="CD131" i="1"/>
  <c r="BW131" i="1"/>
  <c r="BO131" i="1"/>
  <c r="BD131" i="1"/>
  <c r="BC131" i="1"/>
  <c r="AZ131" i="1"/>
  <c r="AK131" i="1"/>
  <c r="L131" i="1"/>
  <c r="K131" i="1"/>
  <c r="BJ130" i="1"/>
  <c r="BI130" i="1"/>
  <c r="BH130" i="1"/>
  <c r="BK130" i="1" s="1"/>
  <c r="BG130" i="1"/>
  <c r="BF130" i="1"/>
  <c r="AX130" i="1"/>
  <c r="AV130" i="1"/>
  <c r="BR130" i="1" s="1"/>
  <c r="AO130" i="1"/>
  <c r="AN130" i="1"/>
  <c r="AL130" i="1"/>
  <c r="AM130" i="1" s="1"/>
  <c r="AJ130" i="1"/>
  <c r="AB130" i="1"/>
  <c r="AA130" i="1"/>
  <c r="Y130" i="1"/>
  <c r="V130" i="1"/>
  <c r="U130" i="1"/>
  <c r="T130" i="1"/>
  <c r="BQ129" i="1"/>
  <c r="BL129" i="1"/>
  <c r="BK129" i="1"/>
  <c r="BJ129" i="1"/>
  <c r="BJ128" i="1" s="1"/>
  <c r="BH129" i="1"/>
  <c r="BF129" i="1"/>
  <c r="AX129" i="1"/>
  <c r="AV129" i="1"/>
  <c r="AO129" i="1"/>
  <c r="AN129" i="1"/>
  <c r="AL129" i="1"/>
  <c r="AM129" i="1" s="1"/>
  <c r="AJ129" i="1"/>
  <c r="AJ128" i="1" s="1"/>
  <c r="AB129" i="1"/>
  <c r="AA129" i="1"/>
  <c r="Y129" i="1"/>
  <c r="V129" i="1"/>
  <c r="U129" i="1"/>
  <c r="T129" i="1"/>
  <c r="CD128" i="1"/>
  <c r="CD112" i="1" s="1"/>
  <c r="BP128" i="1"/>
  <c r="BO128" i="1"/>
  <c r="BN128" i="1"/>
  <c r="BH128" i="1"/>
  <c r="BF128" i="1"/>
  <c r="BE128" i="1"/>
  <c r="BD128" i="1"/>
  <c r="BC128" i="1"/>
  <c r="BB128" i="1"/>
  <c r="BA128" i="1"/>
  <c r="AZ128" i="1"/>
  <c r="AX128" i="1"/>
  <c r="AV128" i="1"/>
  <c r="BR128" i="1" s="1"/>
  <c r="AU128" i="1"/>
  <c r="AT128" i="1"/>
  <c r="AL128" i="1"/>
  <c r="AN128" i="1" s="1"/>
  <c r="AK128" i="1"/>
  <c r="AI128" i="1"/>
  <c r="AH128" i="1"/>
  <c r="AG128" i="1"/>
  <c r="AF128" i="1"/>
  <c r="AF112" i="1" s="1"/>
  <c r="AE128" i="1"/>
  <c r="AD128" i="1"/>
  <c r="AC128" i="1"/>
  <c r="AB128" i="1"/>
  <c r="AA128" i="1"/>
  <c r="Z128" i="1"/>
  <c r="AO128" i="1" s="1"/>
  <c r="X128" i="1"/>
  <c r="S128" i="1"/>
  <c r="K128" i="1"/>
  <c r="BF127" i="1"/>
  <c r="AX127" i="1"/>
  <c r="AX125" i="1" s="1"/>
  <c r="AV127" i="1"/>
  <c r="BR127" i="1" s="1"/>
  <c r="AT127" i="1"/>
  <c r="AY127" i="1" s="1"/>
  <c r="AO127" i="1"/>
  <c r="AL127" i="1"/>
  <c r="AN127" i="1" s="1"/>
  <c r="AI127" i="1"/>
  <c r="AM127" i="1" s="1"/>
  <c r="AH127" i="1"/>
  <c r="AA127" i="1"/>
  <c r="X127" i="1"/>
  <c r="Y127" i="1" s="1"/>
  <c r="V127" i="1"/>
  <c r="U127" i="1"/>
  <c r="S127" i="1"/>
  <c r="AB127" i="1" s="1"/>
  <c r="AB125" i="1" s="1"/>
  <c r="BM126" i="1"/>
  <c r="BK126" i="1"/>
  <c r="BJ126" i="1"/>
  <c r="BI126" i="1"/>
  <c r="BH126" i="1"/>
  <c r="BV126" i="1" s="1"/>
  <c r="BG126" i="1"/>
  <c r="BF126" i="1"/>
  <c r="AY126" i="1"/>
  <c r="AY125" i="1" s="1"/>
  <c r="AX126" i="1"/>
  <c r="AV126" i="1"/>
  <c r="BR126" i="1" s="1"/>
  <c r="AO126" i="1"/>
  <c r="AN126" i="1"/>
  <c r="AM126" i="1"/>
  <c r="AJ126" i="1"/>
  <c r="AB126" i="1"/>
  <c r="AA126" i="1"/>
  <c r="AA125" i="1" s="1"/>
  <c r="Y126" i="1"/>
  <c r="V126" i="1"/>
  <c r="U126" i="1"/>
  <c r="T126" i="1"/>
  <c r="CD125" i="1"/>
  <c r="BP125" i="1"/>
  <c r="BO125" i="1"/>
  <c r="BN125" i="1"/>
  <c r="BE125" i="1"/>
  <c r="BD125" i="1"/>
  <c r="BC125" i="1"/>
  <c r="BB125" i="1"/>
  <c r="BA125" i="1"/>
  <c r="AZ125" i="1"/>
  <c r="AV125" i="1"/>
  <c r="AU125" i="1"/>
  <c r="AT125" i="1"/>
  <c r="AN125" i="1"/>
  <c r="AL125" i="1"/>
  <c r="AM125" i="1" s="1"/>
  <c r="AK125" i="1"/>
  <c r="AK112" i="1" s="1"/>
  <c r="AI125" i="1"/>
  <c r="AG125" i="1"/>
  <c r="AF125" i="1"/>
  <c r="AE125" i="1"/>
  <c r="AD125" i="1"/>
  <c r="AC125" i="1"/>
  <c r="Z125" i="1"/>
  <c r="AO125" i="1" s="1"/>
  <c r="Y125" i="1"/>
  <c r="X125" i="1"/>
  <c r="S125" i="1"/>
  <c r="V125" i="1" s="1"/>
  <c r="K125" i="1"/>
  <c r="U125" i="1" s="1"/>
  <c r="AX124" i="1"/>
  <c r="AX122" i="1" s="1"/>
  <c r="AV124" i="1"/>
  <c r="AT124" i="1"/>
  <c r="AY124" i="1" s="1"/>
  <c r="AO124" i="1"/>
  <c r="AN124" i="1"/>
  <c r="AM124" i="1"/>
  <c r="AL124" i="1"/>
  <c r="AI124" i="1"/>
  <c r="AH124" i="1"/>
  <c r="AJ124" i="1" s="1"/>
  <c r="AJ122" i="1" s="1"/>
  <c r="AA124" i="1"/>
  <c r="AA122" i="1" s="1"/>
  <c r="AA112" i="1" s="1"/>
  <c r="X124" i="1"/>
  <c r="T124" i="1"/>
  <c r="S124" i="1"/>
  <c r="BF123" i="1"/>
  <c r="AY123" i="1"/>
  <c r="AY122" i="1" s="1"/>
  <c r="AX123" i="1"/>
  <c r="AV123" i="1"/>
  <c r="BG123" i="1" s="1"/>
  <c r="AO123" i="1"/>
  <c r="AN123" i="1"/>
  <c r="AM123" i="1"/>
  <c r="AJ123" i="1"/>
  <c r="AB123" i="1"/>
  <c r="AA123" i="1"/>
  <c r="Y123" i="1"/>
  <c r="V123" i="1"/>
  <c r="U123" i="1"/>
  <c r="T123" i="1"/>
  <c r="CD122" i="1"/>
  <c r="BP122" i="1"/>
  <c r="BO122" i="1"/>
  <c r="BN122" i="1"/>
  <c r="BE122" i="1"/>
  <c r="BD122" i="1"/>
  <c r="BC122" i="1"/>
  <c r="BB122" i="1"/>
  <c r="BA122" i="1"/>
  <c r="AZ122" i="1"/>
  <c r="AU122" i="1"/>
  <c r="AT122" i="1"/>
  <c r="AN122" i="1"/>
  <c r="AL122" i="1"/>
  <c r="AM122" i="1" s="1"/>
  <c r="AI122" i="1"/>
  <c r="AO122" i="1" s="1"/>
  <c r="AH122" i="1"/>
  <c r="AG122" i="1"/>
  <c r="AF122" i="1"/>
  <c r="AE122" i="1"/>
  <c r="AD122" i="1"/>
  <c r="AC122" i="1"/>
  <c r="Z122" i="1"/>
  <c r="K122" i="1"/>
  <c r="BH121" i="1"/>
  <c r="AT121" i="1"/>
  <c r="AT119" i="1" s="1"/>
  <c r="AN121" i="1"/>
  <c r="AL121" i="1"/>
  <c r="AM121" i="1" s="1"/>
  <c r="AJ121" i="1"/>
  <c r="AJ119" i="1" s="1"/>
  <c r="AI121" i="1"/>
  <c r="AA121" i="1"/>
  <c r="X121" i="1"/>
  <c r="U121" i="1"/>
  <c r="S121" i="1"/>
  <c r="BJ120" i="1"/>
  <c r="BH120" i="1"/>
  <c r="BF120" i="1"/>
  <c r="BF121" i="1" s="1"/>
  <c r="AY120" i="1"/>
  <c r="AX120" i="1"/>
  <c r="AV120" i="1"/>
  <c r="AO120" i="1"/>
  <c r="AN120" i="1"/>
  <c r="AM120" i="1"/>
  <c r="AJ120" i="1"/>
  <c r="AB120" i="1"/>
  <c r="AA120" i="1"/>
  <c r="Y120" i="1"/>
  <c r="V120" i="1"/>
  <c r="U120" i="1"/>
  <c r="T120" i="1"/>
  <c r="CD119" i="1"/>
  <c r="BP119" i="1"/>
  <c r="BO119" i="1"/>
  <c r="BN119" i="1"/>
  <c r="BF119" i="1"/>
  <c r="BE119" i="1"/>
  <c r="BD119" i="1"/>
  <c r="BC119" i="1"/>
  <c r="BB119" i="1"/>
  <c r="BA119" i="1"/>
  <c r="AZ119" i="1"/>
  <c r="AZ112" i="1" s="1"/>
  <c r="AU119" i="1"/>
  <c r="AL119" i="1"/>
  <c r="AN119" i="1" s="1"/>
  <c r="AK119" i="1"/>
  <c r="AH119" i="1"/>
  <c r="AG119" i="1"/>
  <c r="AF119" i="1"/>
  <c r="AE119" i="1"/>
  <c r="AD119" i="1"/>
  <c r="AD112" i="1" s="1"/>
  <c r="AC119" i="1"/>
  <c r="AA119" i="1"/>
  <c r="Z119" i="1"/>
  <c r="X119" i="1"/>
  <c r="K119" i="1"/>
  <c r="AY118" i="1"/>
  <c r="AY116" i="1" s="1"/>
  <c r="AX118" i="1"/>
  <c r="AT118" i="1"/>
  <c r="AT116" i="1" s="1"/>
  <c r="AO118" i="1"/>
  <c r="AN118" i="1"/>
  <c r="AM118" i="1"/>
  <c r="AL118" i="1"/>
  <c r="AJ118" i="1"/>
  <c r="AI118" i="1"/>
  <c r="AB118" i="1"/>
  <c r="AA118" i="1"/>
  <c r="Y118" i="1"/>
  <c r="X118" i="1"/>
  <c r="U118" i="1"/>
  <c r="S118" i="1"/>
  <c r="S116" i="1" s="1"/>
  <c r="T116" i="1" s="1"/>
  <c r="BJ117" i="1"/>
  <c r="BF117" i="1"/>
  <c r="AY117" i="1"/>
  <c r="AX117" i="1"/>
  <c r="AV117" i="1"/>
  <c r="AO117" i="1"/>
  <c r="AN117" i="1"/>
  <c r="AM117" i="1"/>
  <c r="AJ117" i="1"/>
  <c r="AB117" i="1"/>
  <c r="AA117" i="1"/>
  <c r="Y117" i="1"/>
  <c r="V117" i="1"/>
  <c r="U117" i="1"/>
  <c r="T117" i="1"/>
  <c r="CD116" i="1"/>
  <c r="BP116" i="1"/>
  <c r="BO116" i="1"/>
  <c r="BN116" i="1"/>
  <c r="BE116" i="1"/>
  <c r="BD116" i="1"/>
  <c r="BC116" i="1"/>
  <c r="BB116" i="1"/>
  <c r="BA116" i="1"/>
  <c r="AZ116" i="1"/>
  <c r="AU116" i="1"/>
  <c r="AO116" i="1"/>
  <c r="AN116" i="1"/>
  <c r="AM116" i="1"/>
  <c r="AL116" i="1"/>
  <c r="AK116" i="1"/>
  <c r="AI116" i="1"/>
  <c r="AH116" i="1"/>
  <c r="AG116" i="1"/>
  <c r="AG112" i="1" s="1"/>
  <c r="AF116" i="1"/>
  <c r="AE116" i="1"/>
  <c r="AD116" i="1"/>
  <c r="AC116" i="1"/>
  <c r="AB116" i="1"/>
  <c r="AA116" i="1"/>
  <c r="Z116" i="1"/>
  <c r="X116" i="1"/>
  <c r="Y116" i="1" s="1"/>
  <c r="K116" i="1"/>
  <c r="BV115" i="1"/>
  <c r="BR115" i="1"/>
  <c r="BQ115" i="1"/>
  <c r="AO115" i="1"/>
  <c r="AN115" i="1"/>
  <c r="AM115" i="1"/>
  <c r="Y115" i="1"/>
  <c r="V115" i="1"/>
  <c r="U115" i="1"/>
  <c r="T115" i="1"/>
  <c r="BV114" i="1"/>
  <c r="BR114" i="1"/>
  <c r="BQ114" i="1"/>
  <c r="AO114" i="1"/>
  <c r="AN114" i="1"/>
  <c r="AM114" i="1"/>
  <c r="Y114" i="1"/>
  <c r="V114" i="1"/>
  <c r="U114" i="1"/>
  <c r="T114" i="1"/>
  <c r="CD113" i="1"/>
  <c r="BV113" i="1"/>
  <c r="BQ113" i="1"/>
  <c r="BP113" i="1"/>
  <c r="BR113" i="1" s="1"/>
  <c r="BO113" i="1"/>
  <c r="BN113" i="1"/>
  <c r="BN112" i="1" s="1"/>
  <c r="BM113" i="1"/>
  <c r="BL113" i="1"/>
  <c r="BK113" i="1"/>
  <c r="BJ113" i="1"/>
  <c r="BI113" i="1"/>
  <c r="BH113" i="1"/>
  <c r="BG113" i="1"/>
  <c r="BF113" i="1"/>
  <c r="BE113" i="1"/>
  <c r="BE112" i="1" s="1"/>
  <c r="BD113" i="1"/>
  <c r="BC113" i="1"/>
  <c r="BB113" i="1"/>
  <c r="BB112" i="1" s="1"/>
  <c r="BA113" i="1"/>
  <c r="BA112" i="1" s="1"/>
  <c r="AZ113" i="1"/>
  <c r="AY113" i="1"/>
  <c r="AX113" i="1"/>
  <c r="AW113" i="1"/>
  <c r="AV113" i="1"/>
  <c r="AU113" i="1"/>
  <c r="AT113" i="1"/>
  <c r="AO113" i="1"/>
  <c r="AL113" i="1"/>
  <c r="AK113" i="1"/>
  <c r="AJ113" i="1"/>
  <c r="AI113" i="1"/>
  <c r="AH113" i="1"/>
  <c r="AG113" i="1"/>
  <c r="AF113" i="1"/>
  <c r="AE113" i="1"/>
  <c r="AD113" i="1"/>
  <c r="AC113" i="1"/>
  <c r="AB113" i="1"/>
  <c r="AA113" i="1"/>
  <c r="Z113" i="1"/>
  <c r="Y113" i="1"/>
  <c r="X113" i="1"/>
  <c r="S113" i="1"/>
  <c r="Q113" i="1"/>
  <c r="P113" i="1"/>
  <c r="O113" i="1"/>
  <c r="N113" i="1"/>
  <c r="M113" i="1"/>
  <c r="L113" i="1"/>
  <c r="L112" i="1" s="1"/>
  <c r="K113" i="1"/>
  <c r="U113" i="1" s="1"/>
  <c r="J113" i="1"/>
  <c r="I113" i="1"/>
  <c r="BO112" i="1"/>
  <c r="BC112" i="1"/>
  <c r="AC112" i="1"/>
  <c r="N112" i="1"/>
  <c r="M112" i="1"/>
  <c r="J112" i="1"/>
  <c r="I112" i="1"/>
  <c r="BQ111" i="1"/>
  <c r="AV111" i="1"/>
  <c r="AT111" i="1"/>
  <c r="AX111" i="1" s="1"/>
  <c r="AL111" i="1"/>
  <c r="AN111" i="1" s="1"/>
  <c r="AJ111" i="1"/>
  <c r="AI111" i="1"/>
  <c r="AO111" i="1" s="1"/>
  <c r="AH111" i="1"/>
  <c r="AA111" i="1"/>
  <c r="Y111" i="1"/>
  <c r="X111" i="1"/>
  <c r="S111" i="1"/>
  <c r="O111" i="1"/>
  <c r="M111" i="1"/>
  <c r="N111" i="1" s="1"/>
  <c r="P111" i="1" s="1"/>
  <c r="BQ110" i="1"/>
  <c r="BF110" i="1"/>
  <c r="BJ110" i="1" s="1"/>
  <c r="AL110" i="1"/>
  <c r="AJ110" i="1"/>
  <c r="AI110" i="1"/>
  <c r="AO110" i="1" s="1"/>
  <c r="AH110" i="1"/>
  <c r="AB110" i="1"/>
  <c r="AD110" i="1" s="1"/>
  <c r="AA110" i="1"/>
  <c r="Y110" i="1"/>
  <c r="X110" i="1"/>
  <c r="V110" i="1"/>
  <c r="U110" i="1"/>
  <c r="T110" i="1"/>
  <c r="P110" i="1"/>
  <c r="BV109" i="1"/>
  <c r="BR109" i="1"/>
  <c r="BQ109" i="1"/>
  <c r="BJ109" i="1"/>
  <c r="BH109" i="1"/>
  <c r="BG109" i="1"/>
  <c r="AW109" i="1"/>
  <c r="AV109" i="1"/>
  <c r="BM109" i="1" s="1"/>
  <c r="AT109" i="1"/>
  <c r="AO109" i="1"/>
  <c r="AN109" i="1"/>
  <c r="AM109" i="1"/>
  <c r="AH109" i="1"/>
  <c r="AJ109" i="1" s="1"/>
  <c r="AB109" i="1"/>
  <c r="AD109" i="1" s="1"/>
  <c r="AA109" i="1"/>
  <c r="X109" i="1"/>
  <c r="Y109" i="1" s="1"/>
  <c r="V109" i="1"/>
  <c r="U109" i="1"/>
  <c r="T109" i="1"/>
  <c r="P109" i="1"/>
  <c r="BQ108" i="1"/>
  <c r="BK108" i="1"/>
  <c r="BJ108" i="1"/>
  <c r="BH108" i="1"/>
  <c r="BL108" i="1" s="1"/>
  <c r="AT108" i="1"/>
  <c r="AO108" i="1"/>
  <c r="AN108" i="1"/>
  <c r="AL108" i="1"/>
  <c r="AM108" i="1" s="1"/>
  <c r="AJ108" i="1"/>
  <c r="AH108" i="1"/>
  <c r="AD108" i="1"/>
  <c r="AB108" i="1"/>
  <c r="AA108" i="1"/>
  <c r="X108" i="1"/>
  <c r="U108" i="1"/>
  <c r="T108" i="1"/>
  <c r="Q108" i="1"/>
  <c r="S108" i="1" s="1"/>
  <c r="Y108" i="1" s="1"/>
  <c r="M108" i="1"/>
  <c r="N108" i="1" s="1"/>
  <c r="BQ107" i="1"/>
  <c r="BK107" i="1"/>
  <c r="BL107" i="1" s="1"/>
  <c r="BI107" i="1"/>
  <c r="BH107" i="1"/>
  <c r="BF107" i="1"/>
  <c r="BJ107" i="1" s="1"/>
  <c r="AY107" i="1"/>
  <c r="AV107" i="1"/>
  <c r="BG107" i="1" s="1"/>
  <c r="AT107" i="1"/>
  <c r="AX107" i="1" s="1"/>
  <c r="AN107" i="1"/>
  <c r="AL107" i="1"/>
  <c r="AI107" i="1"/>
  <c r="AH107" i="1"/>
  <c r="AJ107" i="1" s="1"/>
  <c r="AJ104" i="1" s="1"/>
  <c r="AA107" i="1"/>
  <c r="X107" i="1"/>
  <c r="Y107" i="1" s="1"/>
  <c r="U107" i="1"/>
  <c r="S107" i="1"/>
  <c r="T107" i="1" s="1"/>
  <c r="N107" i="1"/>
  <c r="M107" i="1"/>
  <c r="BQ106" i="1"/>
  <c r="BL106" i="1"/>
  <c r="BJ106" i="1"/>
  <c r="BH106" i="1"/>
  <c r="BF106" i="1"/>
  <c r="AY106" i="1"/>
  <c r="AT106" i="1"/>
  <c r="AX106" i="1" s="1"/>
  <c r="AN106" i="1"/>
  <c r="AL106" i="1"/>
  <c r="AM106" i="1" s="1"/>
  <c r="AJ106" i="1"/>
  <c r="AI106" i="1"/>
  <c r="AO106" i="1" s="1"/>
  <c r="AH106" i="1"/>
  <c r="AD106" i="1"/>
  <c r="AA106" i="1"/>
  <c r="X106" i="1"/>
  <c r="Y106" i="1" s="1"/>
  <c r="U106" i="1"/>
  <c r="S106" i="1"/>
  <c r="AB106" i="1" s="1"/>
  <c r="P106" i="1"/>
  <c r="O106" i="1"/>
  <c r="N106" i="1"/>
  <c r="M106" i="1"/>
  <c r="BK105" i="1"/>
  <c r="BQ105" i="1" s="1"/>
  <c r="BJ105" i="1"/>
  <c r="BH105" i="1"/>
  <c r="BF105" i="1"/>
  <c r="AY105" i="1"/>
  <c r="AT105" i="1"/>
  <c r="AX105" i="1" s="1"/>
  <c r="AN105" i="1"/>
  <c r="AL105" i="1"/>
  <c r="AM105" i="1" s="1"/>
  <c r="AJ105" i="1"/>
  <c r="AI105" i="1"/>
  <c r="AO105" i="1" s="1"/>
  <c r="AH105" i="1"/>
  <c r="AD105" i="1"/>
  <c r="AA105" i="1"/>
  <c r="X105" i="1"/>
  <c r="Y105" i="1" s="1"/>
  <c r="U105" i="1"/>
  <c r="S105" i="1"/>
  <c r="AB105" i="1" s="1"/>
  <c r="M105" i="1"/>
  <c r="N105" i="1" s="1"/>
  <c r="CD104" i="1"/>
  <c r="BP104" i="1"/>
  <c r="BO104" i="1"/>
  <c r="BN104" i="1"/>
  <c r="BE104" i="1"/>
  <c r="BD104" i="1"/>
  <c r="BC104" i="1"/>
  <c r="BB104" i="1"/>
  <c r="BA104" i="1"/>
  <c r="AZ104" i="1"/>
  <c r="AU104" i="1"/>
  <c r="AK104" i="1"/>
  <c r="AG104" i="1"/>
  <c r="AF104" i="1"/>
  <c r="AE104" i="1"/>
  <c r="AC104" i="1"/>
  <c r="AA104" i="1"/>
  <c r="Z104" i="1"/>
  <c r="T104" i="1"/>
  <c r="S104" i="1"/>
  <c r="Q104" i="1"/>
  <c r="M104" i="1"/>
  <c r="L104" i="1"/>
  <c r="K104" i="1"/>
  <c r="J104" i="1"/>
  <c r="I104" i="1"/>
  <c r="BW103" i="1"/>
  <c r="BQ103" i="1"/>
  <c r="BL103" i="1"/>
  <c r="BH103" i="1"/>
  <c r="BF103" i="1"/>
  <c r="BJ103" i="1" s="1"/>
  <c r="AN103" i="1"/>
  <c r="AL103" i="1"/>
  <c r="AJ103" i="1"/>
  <c r="AI103" i="1"/>
  <c r="AO103" i="1" s="1"/>
  <c r="AH103" i="1"/>
  <c r="AA103" i="1"/>
  <c r="X103" i="1"/>
  <c r="S103" i="1"/>
  <c r="Q103" i="1"/>
  <c r="M103" i="1"/>
  <c r="N103" i="1" s="1"/>
  <c r="BQ102" i="1"/>
  <c r="BL102" i="1"/>
  <c r="BH102" i="1"/>
  <c r="BF102" i="1"/>
  <c r="BJ102" i="1" s="1"/>
  <c r="AN102" i="1"/>
  <c r="AL102" i="1"/>
  <c r="AJ102" i="1"/>
  <c r="AI102" i="1"/>
  <c r="AO102" i="1" s="1"/>
  <c r="AH102" i="1"/>
  <c r="AA102" i="1"/>
  <c r="X102" i="1"/>
  <c r="S102" i="1"/>
  <c r="S97" i="1" s="1"/>
  <c r="Q102" i="1"/>
  <c r="Q97" i="1" s="1"/>
  <c r="O102" i="1"/>
  <c r="M102" i="1"/>
  <c r="N102" i="1" s="1"/>
  <c r="P102" i="1" s="1"/>
  <c r="BQ101" i="1"/>
  <c r="BL101" i="1"/>
  <c r="BF101" i="1"/>
  <c r="BJ101" i="1" s="1"/>
  <c r="AV101" i="1"/>
  <c r="AT101" i="1"/>
  <c r="AY101" i="1" s="1"/>
  <c r="AN101" i="1"/>
  <c r="AM101" i="1"/>
  <c r="AL101" i="1"/>
  <c r="AJ101" i="1"/>
  <c r="AI101" i="1"/>
  <c r="AO101" i="1" s="1"/>
  <c r="AH101" i="1"/>
  <c r="AD101" i="1"/>
  <c r="AB101" i="1"/>
  <c r="AA101" i="1"/>
  <c r="Y101" i="1"/>
  <c r="X101" i="1"/>
  <c r="T101" i="1"/>
  <c r="S101" i="1"/>
  <c r="U101" i="1" s="1"/>
  <c r="P101" i="1"/>
  <c r="N101" i="1"/>
  <c r="O101" i="1" s="1"/>
  <c r="V101" i="1" s="1"/>
  <c r="M101" i="1"/>
  <c r="BQ100" i="1"/>
  <c r="BP100" i="1"/>
  <c r="BR100" i="1" s="1"/>
  <c r="BH100" i="1"/>
  <c r="BF100" i="1"/>
  <c r="BI100" i="1" s="1"/>
  <c r="AV100" i="1"/>
  <c r="AT100" i="1"/>
  <c r="AY100" i="1" s="1"/>
  <c r="AM100" i="1"/>
  <c r="AL100" i="1"/>
  <c r="AN100" i="1" s="1"/>
  <c r="AJ100" i="1"/>
  <c r="AI100" i="1"/>
  <c r="AO100" i="1" s="1"/>
  <c r="AH100" i="1"/>
  <c r="AD100" i="1"/>
  <c r="AB100" i="1"/>
  <c r="AA100" i="1"/>
  <c r="Y100" i="1"/>
  <c r="X100" i="1"/>
  <c r="T100" i="1"/>
  <c r="S100" i="1"/>
  <c r="U100" i="1" s="1"/>
  <c r="O100" i="1"/>
  <c r="V100" i="1" s="1"/>
  <c r="N100" i="1"/>
  <c r="P100" i="1" s="1"/>
  <c r="M100" i="1"/>
  <c r="BQ99" i="1"/>
  <c r="BL99" i="1"/>
  <c r="BJ99" i="1"/>
  <c r="BH99" i="1"/>
  <c r="AY99" i="1"/>
  <c r="AX99" i="1"/>
  <c r="AT99" i="1"/>
  <c r="AV99" i="1" s="1"/>
  <c r="BI99" i="1" s="1"/>
  <c r="AO99" i="1"/>
  <c r="AN99" i="1"/>
  <c r="AM99" i="1"/>
  <c r="AL99" i="1"/>
  <c r="AJ99" i="1"/>
  <c r="AH99" i="1"/>
  <c r="AB99" i="1"/>
  <c r="AA99" i="1"/>
  <c r="X99" i="1"/>
  <c r="U99" i="1"/>
  <c r="T99" i="1"/>
  <c r="S99" i="1"/>
  <c r="Y99" i="1" s="1"/>
  <c r="M99" i="1"/>
  <c r="BQ98" i="1"/>
  <c r="BL98" i="1"/>
  <c r="BJ98" i="1"/>
  <c r="AV98" i="1"/>
  <c r="AT98" i="1"/>
  <c r="AY98" i="1" s="1"/>
  <c r="AN98" i="1"/>
  <c r="AJ98" i="1"/>
  <c r="AP98" i="1" s="1"/>
  <c r="AI98" i="1"/>
  <c r="AH98" i="1"/>
  <c r="AD98" i="1"/>
  <c r="AB98" i="1"/>
  <c r="AA98" i="1"/>
  <c r="Y98" i="1"/>
  <c r="X98" i="1"/>
  <c r="U98" i="1"/>
  <c r="T98" i="1"/>
  <c r="N98" i="1"/>
  <c r="P98" i="1" s="1"/>
  <c r="M98" i="1"/>
  <c r="CD97" i="1"/>
  <c r="BP97" i="1"/>
  <c r="BO97" i="1"/>
  <c r="BN97" i="1"/>
  <c r="BK97" i="1"/>
  <c r="BH97" i="1"/>
  <c r="BF97" i="1"/>
  <c r="BE97" i="1"/>
  <c r="BD97" i="1"/>
  <c r="BC97" i="1"/>
  <c r="BB97" i="1"/>
  <c r="BA97" i="1"/>
  <c r="AZ97" i="1"/>
  <c r="AZ88" i="1" s="1"/>
  <c r="AU97" i="1"/>
  <c r="AO97" i="1"/>
  <c r="AK97" i="1"/>
  <c r="AI97" i="1"/>
  <c r="AH97" i="1"/>
  <c r="AG97" i="1"/>
  <c r="AF97" i="1"/>
  <c r="AC97" i="1"/>
  <c r="Z97" i="1"/>
  <c r="X97" i="1"/>
  <c r="L97" i="1"/>
  <c r="K97" i="1"/>
  <c r="J97" i="1"/>
  <c r="J88" i="1" s="1"/>
  <c r="I97" i="1"/>
  <c r="BV96" i="1"/>
  <c r="BR96" i="1"/>
  <c r="BL96" i="1"/>
  <c r="BK96" i="1"/>
  <c r="BM96" i="1" s="1"/>
  <c r="BJ96" i="1"/>
  <c r="BI96" i="1"/>
  <c r="BH96" i="1"/>
  <c r="BG96" i="1"/>
  <c r="AY96" i="1"/>
  <c r="AX96" i="1"/>
  <c r="AW96" i="1"/>
  <c r="AO96" i="1"/>
  <c r="AN96" i="1"/>
  <c r="AM96" i="1"/>
  <c r="AJ96" i="1"/>
  <c r="AH96" i="1"/>
  <c r="AB96" i="1"/>
  <c r="AA96" i="1"/>
  <c r="Y96" i="1"/>
  <c r="V96" i="1"/>
  <c r="U96" i="1"/>
  <c r="T96" i="1"/>
  <c r="M96" i="1"/>
  <c r="N96" i="1" s="1"/>
  <c r="P96" i="1" s="1"/>
  <c r="BQ95" i="1"/>
  <c r="BK95" i="1"/>
  <c r="BJ95" i="1"/>
  <c r="BH95" i="1"/>
  <c r="BF95" i="1"/>
  <c r="AL95" i="1"/>
  <c r="AI95" i="1"/>
  <c r="X95" i="1"/>
  <c r="S95" i="1"/>
  <c r="O95" i="1"/>
  <c r="M95" i="1"/>
  <c r="N95" i="1" s="1"/>
  <c r="P95" i="1" s="1"/>
  <c r="BQ94" i="1"/>
  <c r="BK94" i="1"/>
  <c r="BJ94" i="1"/>
  <c r="BH94" i="1"/>
  <c r="BF94" i="1"/>
  <c r="AL94" i="1"/>
  <c r="AJ94" i="1"/>
  <c r="AI94" i="1"/>
  <c r="AO94" i="1" s="1"/>
  <c r="AH94" i="1"/>
  <c r="AA94" i="1"/>
  <c r="X94" i="1"/>
  <c r="Y94" i="1" s="1"/>
  <c r="O94" i="1"/>
  <c r="S94" i="1" s="1"/>
  <c r="AB94" i="1" s="1"/>
  <c r="N94" i="1"/>
  <c r="P94" i="1" s="1"/>
  <c r="M94" i="1"/>
  <c r="BQ93" i="1"/>
  <c r="BK93" i="1"/>
  <c r="BG93" i="1"/>
  <c r="AV93" i="1"/>
  <c r="AT93" i="1"/>
  <c r="AY93" i="1" s="1"/>
  <c r="AN93" i="1"/>
  <c r="AL93" i="1"/>
  <c r="AI93" i="1"/>
  <c r="AO93" i="1" s="1"/>
  <c r="AH93" i="1"/>
  <c r="AJ93" i="1" s="1"/>
  <c r="AA93" i="1"/>
  <c r="X93" i="1"/>
  <c r="Q93" i="1"/>
  <c r="O93" i="1"/>
  <c r="M93" i="1"/>
  <c r="N93" i="1" s="1"/>
  <c r="P93" i="1" s="1"/>
  <c r="BQ92" i="1"/>
  <c r="BK92" i="1"/>
  <c r="BJ92" i="1"/>
  <c r="BH92" i="1"/>
  <c r="AX92" i="1"/>
  <c r="AT92" i="1"/>
  <c r="AY92" i="1" s="1"/>
  <c r="AO92" i="1"/>
  <c r="AN92" i="1"/>
  <c r="AL92" i="1"/>
  <c r="AM92" i="1" s="1"/>
  <c r="AJ92" i="1"/>
  <c r="AH92" i="1"/>
  <c r="AA92" i="1"/>
  <c r="X92" i="1"/>
  <c r="Y92" i="1" s="1"/>
  <c r="U92" i="1"/>
  <c r="T92" i="1"/>
  <c r="S92" i="1"/>
  <c r="AB92" i="1" s="1"/>
  <c r="AD92" i="1" s="1"/>
  <c r="M92" i="1"/>
  <c r="M89" i="1" s="1"/>
  <c r="BQ91" i="1"/>
  <c r="BM91" i="1"/>
  <c r="BL91" i="1"/>
  <c r="BJ91" i="1"/>
  <c r="BH91" i="1"/>
  <c r="BV91" i="1" s="1"/>
  <c r="AY91" i="1"/>
  <c r="AW91" i="1"/>
  <c r="AT91" i="1"/>
  <c r="AV91" i="1" s="1"/>
  <c r="BR91" i="1" s="1"/>
  <c r="AM91" i="1"/>
  <c r="AL91" i="1"/>
  <c r="AL89" i="1" s="1"/>
  <c r="AJ91" i="1"/>
  <c r="AI91" i="1"/>
  <c r="AO91" i="1" s="1"/>
  <c r="AH91" i="1"/>
  <c r="AA91" i="1"/>
  <c r="Y91" i="1"/>
  <c r="X91" i="1"/>
  <c r="V91" i="1"/>
  <c r="T91" i="1"/>
  <c r="S91" i="1"/>
  <c r="U91" i="1" s="1"/>
  <c r="P91" i="1"/>
  <c r="O91" i="1"/>
  <c r="N91" i="1"/>
  <c r="M91" i="1"/>
  <c r="BQ90" i="1"/>
  <c r="BL90" i="1"/>
  <c r="BF90" i="1"/>
  <c r="AT90" i="1"/>
  <c r="AO90" i="1"/>
  <c r="AM90" i="1"/>
  <c r="AL90" i="1"/>
  <c r="AN90" i="1" s="1"/>
  <c r="AI90" i="1"/>
  <c r="AH90" i="1"/>
  <c r="AJ90" i="1" s="1"/>
  <c r="AA90" i="1"/>
  <c r="X90" i="1"/>
  <c r="V90" i="1"/>
  <c r="U90" i="1"/>
  <c r="S90" i="1"/>
  <c r="O90" i="1"/>
  <c r="N90" i="1"/>
  <c r="P90" i="1" s="1"/>
  <c r="M90" i="1"/>
  <c r="CD89" i="1"/>
  <c r="BP89" i="1"/>
  <c r="BO89" i="1"/>
  <c r="BO88" i="1" s="1"/>
  <c r="BO87" i="1" s="1"/>
  <c r="BN89" i="1"/>
  <c r="BK89" i="1"/>
  <c r="BE89" i="1"/>
  <c r="BE88" i="1" s="1"/>
  <c r="BD89" i="1"/>
  <c r="BC89" i="1"/>
  <c r="BB89" i="1"/>
  <c r="BA89" i="1"/>
  <c r="BA88" i="1" s="1"/>
  <c r="BA87" i="1" s="1"/>
  <c r="BA86" i="1" s="1"/>
  <c r="AZ89" i="1"/>
  <c r="AU89" i="1"/>
  <c r="AK89" i="1"/>
  <c r="AG89" i="1"/>
  <c r="AG88" i="1" s="1"/>
  <c r="AG87" i="1" s="1"/>
  <c r="AG86" i="1" s="1"/>
  <c r="AF89" i="1"/>
  <c r="AE89" i="1"/>
  <c r="AC89" i="1"/>
  <c r="AC88" i="1" s="1"/>
  <c r="L89" i="1"/>
  <c r="K89" i="1"/>
  <c r="K88" i="1" s="1"/>
  <c r="J89" i="1"/>
  <c r="I89" i="1"/>
  <c r="CD88" i="1"/>
  <c r="CD87" i="1" s="1"/>
  <c r="CD86" i="1" s="1"/>
  <c r="BN88" i="1"/>
  <c r="BN87" i="1" s="1"/>
  <c r="BN86" i="1" s="1"/>
  <c r="BC88" i="1"/>
  <c r="BC87" i="1" s="1"/>
  <c r="BB88" i="1"/>
  <c r="BB87" i="1" s="1"/>
  <c r="AU88" i="1"/>
  <c r="AK88" i="1"/>
  <c r="AF88" i="1"/>
  <c r="AF87" i="1" s="1"/>
  <c r="AF86" i="1" s="1"/>
  <c r="L88" i="1"/>
  <c r="L87" i="1" s="1"/>
  <c r="I88" i="1"/>
  <c r="I87" i="1" s="1"/>
  <c r="AZ87" i="1"/>
  <c r="AK87" i="1"/>
  <c r="AC87" i="1"/>
  <c r="AC86" i="1" s="1"/>
  <c r="J87" i="1"/>
  <c r="J86" i="1" s="1"/>
  <c r="BQ85" i="1"/>
  <c r="BL85" i="1"/>
  <c r="BJ85" i="1"/>
  <c r="BH85" i="1"/>
  <c r="AY85" i="1"/>
  <c r="AX85" i="1"/>
  <c r="AV85" i="1"/>
  <c r="BV85" i="1" s="1"/>
  <c r="AO85" i="1"/>
  <c r="AN85" i="1"/>
  <c r="AM85" i="1"/>
  <c r="AJ85" i="1"/>
  <c r="AB85" i="1"/>
  <c r="AA85" i="1"/>
  <c r="AA79" i="1" s="1"/>
  <c r="Y85" i="1"/>
  <c r="V85" i="1"/>
  <c r="U85" i="1"/>
  <c r="T85" i="1"/>
  <c r="N85" i="1"/>
  <c r="P85" i="1" s="1"/>
  <c r="BR84" i="1"/>
  <c r="BQ84" i="1"/>
  <c r="BM84" i="1"/>
  <c r="BL84" i="1"/>
  <c r="BJ84" i="1"/>
  <c r="BI84" i="1"/>
  <c r="BH84" i="1"/>
  <c r="BV84" i="1" s="1"/>
  <c r="BG84" i="1"/>
  <c r="AX84" i="1"/>
  <c r="AW84" i="1"/>
  <c r="AV84" i="1"/>
  <c r="AO84" i="1"/>
  <c r="AL84" i="1"/>
  <c r="AY84" i="1" s="1"/>
  <c r="AJ84" i="1"/>
  <c r="AI84" i="1"/>
  <c r="AB84" i="1"/>
  <c r="AA84" i="1"/>
  <c r="X84" i="1"/>
  <c r="Y84" i="1" s="1"/>
  <c r="U84" i="1"/>
  <c r="T84" i="1"/>
  <c r="S84" i="1"/>
  <c r="O84" i="1"/>
  <c r="V84" i="1" s="1"/>
  <c r="N84" i="1"/>
  <c r="P84" i="1" s="1"/>
  <c r="M84" i="1"/>
  <c r="BQ83" i="1"/>
  <c r="BM83" i="1"/>
  <c r="BL83" i="1"/>
  <c r="BJ83" i="1"/>
  <c r="BI83" i="1"/>
  <c r="AY83" i="1"/>
  <c r="AX83" i="1"/>
  <c r="AX79" i="1" s="1"/>
  <c r="AW83" i="1"/>
  <c r="AV83" i="1"/>
  <c r="BG83" i="1" s="1"/>
  <c r="AO83" i="1"/>
  <c r="AN83" i="1"/>
  <c r="AM83" i="1"/>
  <c r="AJ83" i="1"/>
  <c r="AB83" i="1"/>
  <c r="AA83" i="1"/>
  <c r="Y83" i="1"/>
  <c r="X83" i="1"/>
  <c r="V83" i="1"/>
  <c r="U83" i="1"/>
  <c r="T83" i="1"/>
  <c r="P83" i="1"/>
  <c r="O83" i="1"/>
  <c r="N83" i="1"/>
  <c r="M83" i="1"/>
  <c r="BV82" i="1"/>
  <c r="BK82" i="1"/>
  <c r="BJ82" i="1"/>
  <c r="BF82" i="1"/>
  <c r="AX82" i="1"/>
  <c r="AV82" i="1"/>
  <c r="AN82" i="1"/>
  <c r="AL82" i="1"/>
  <c r="AJ82" i="1"/>
  <c r="AI82" i="1"/>
  <c r="AO82" i="1" s="1"/>
  <c r="AB82" i="1"/>
  <c r="AA82" i="1"/>
  <c r="Y82" i="1"/>
  <c r="U82" i="1"/>
  <c r="T82" i="1"/>
  <c r="S82" i="1"/>
  <c r="P82" i="1"/>
  <c r="N82" i="1"/>
  <c r="O82" i="1" s="1"/>
  <c r="V82" i="1" s="1"/>
  <c r="M82" i="1"/>
  <c r="BP81" i="1"/>
  <c r="BP79" i="1" s="1"/>
  <c r="AY81" i="1"/>
  <c r="AX81" i="1"/>
  <c r="AT81" i="1"/>
  <c r="AV81" i="1" s="1"/>
  <c r="AN81" i="1"/>
  <c r="AM81" i="1"/>
  <c r="AI81" i="1"/>
  <c r="AH81" i="1"/>
  <c r="AJ81" i="1" s="1"/>
  <c r="AB81" i="1"/>
  <c r="AA81" i="1"/>
  <c r="X81" i="1"/>
  <c r="Y81" i="1" s="1"/>
  <c r="T81" i="1"/>
  <c r="S81" i="1"/>
  <c r="P81" i="1"/>
  <c r="O81" i="1"/>
  <c r="N81" i="1"/>
  <c r="M81" i="1"/>
  <c r="BV80" i="1"/>
  <c r="BR80" i="1"/>
  <c r="BQ80" i="1"/>
  <c r="BM80" i="1"/>
  <c r="BL80" i="1"/>
  <c r="BJ80" i="1"/>
  <c r="BI80" i="1"/>
  <c r="BG80" i="1"/>
  <c r="AY80" i="1"/>
  <c r="AX80" i="1"/>
  <c r="AW80" i="1"/>
  <c r="AV80" i="1"/>
  <c r="AO80" i="1"/>
  <c r="AN80" i="1"/>
  <c r="AM80" i="1"/>
  <c r="AJ80" i="1"/>
  <c r="AI80" i="1"/>
  <c r="AH80" i="1"/>
  <c r="AB80" i="1"/>
  <c r="AA80" i="1"/>
  <c r="Y80" i="1"/>
  <c r="X80" i="1"/>
  <c r="U80" i="1"/>
  <c r="T80" i="1"/>
  <c r="O80" i="1"/>
  <c r="N80" i="1"/>
  <c r="M80" i="1"/>
  <c r="CD79" i="1"/>
  <c r="BO79" i="1"/>
  <c r="BN79" i="1"/>
  <c r="BE79" i="1"/>
  <c r="BD79" i="1"/>
  <c r="BC79" i="1"/>
  <c r="BB79" i="1"/>
  <c r="BA79" i="1"/>
  <c r="AZ79" i="1"/>
  <c r="AU79" i="1"/>
  <c r="AT79" i="1"/>
  <c r="AK79" i="1"/>
  <c r="AK59" i="1" s="1"/>
  <c r="AK48" i="1" s="1"/>
  <c r="AH79" i="1"/>
  <c r="AG79" i="1"/>
  <c r="AF79" i="1"/>
  <c r="AE79" i="1"/>
  <c r="AD79" i="1"/>
  <c r="AC79" i="1"/>
  <c r="Z79" i="1"/>
  <c r="Q79" i="1"/>
  <c r="Q59" i="1" s="1"/>
  <c r="M79" i="1"/>
  <c r="L79" i="1"/>
  <c r="K79" i="1"/>
  <c r="J79" i="1"/>
  <c r="I79" i="1"/>
  <c r="AN78" i="1"/>
  <c r="AL78" i="1"/>
  <c r="AI78" i="1"/>
  <c r="AO78" i="1" s="1"/>
  <c r="AH78" i="1"/>
  <c r="AJ78" i="1" s="1"/>
  <c r="AB78" i="1"/>
  <c r="AA78" i="1"/>
  <c r="AA67" i="1" s="1"/>
  <c r="X78" i="1"/>
  <c r="Y78" i="1" s="1"/>
  <c r="U78" i="1"/>
  <c r="T78" i="1"/>
  <c r="S78" i="1"/>
  <c r="P78" i="1"/>
  <c r="N78" i="1"/>
  <c r="O78" i="1" s="1"/>
  <c r="V78" i="1" s="1"/>
  <c r="M78" i="1"/>
  <c r="BV77" i="1"/>
  <c r="BQ77" i="1"/>
  <c r="BL77" i="1"/>
  <c r="BF77" i="1"/>
  <c r="AX77" i="1"/>
  <c r="AV77" i="1"/>
  <c r="AT77" i="1"/>
  <c r="AY77" i="1" s="1"/>
  <c r="AO77" i="1"/>
  <c r="AM77" i="1"/>
  <c r="AL77" i="1"/>
  <c r="AN77" i="1" s="1"/>
  <c r="AI77" i="1"/>
  <c r="AH77" i="1"/>
  <c r="AJ77" i="1" s="1"/>
  <c r="AA77" i="1"/>
  <c r="X77" i="1"/>
  <c r="Y77" i="1" s="1"/>
  <c r="U77" i="1"/>
  <c r="T77" i="1"/>
  <c r="S77" i="1"/>
  <c r="AB77" i="1" s="1"/>
  <c r="P77" i="1"/>
  <c r="O77" i="1"/>
  <c r="M77" i="1"/>
  <c r="N77" i="1" s="1"/>
  <c r="BQ76" i="1"/>
  <c r="BJ76" i="1"/>
  <c r="BH76" i="1"/>
  <c r="BL76" i="1" s="1"/>
  <c r="AT76" i="1"/>
  <c r="AO76" i="1"/>
  <c r="AN76" i="1"/>
  <c r="AM76" i="1"/>
  <c r="AH76" i="1"/>
  <c r="AJ76" i="1" s="1"/>
  <c r="AB76" i="1"/>
  <c r="AA76" i="1"/>
  <c r="Y76" i="1"/>
  <c r="X76" i="1"/>
  <c r="T76" i="1"/>
  <c r="S76" i="1"/>
  <c r="U76" i="1" s="1"/>
  <c r="O76" i="1"/>
  <c r="N76" i="1"/>
  <c r="P76" i="1" s="1"/>
  <c r="M76" i="1"/>
  <c r="BV75" i="1"/>
  <c r="BR75" i="1"/>
  <c r="BQ75" i="1"/>
  <c r="BL75" i="1"/>
  <c r="BJ75" i="1"/>
  <c r="BG75" i="1"/>
  <c r="AY75" i="1"/>
  <c r="AX75" i="1"/>
  <c r="AW75" i="1"/>
  <c r="AV75" i="1"/>
  <c r="BM75" i="1" s="1"/>
  <c r="AU75" i="1"/>
  <c r="AO75" i="1"/>
  <c r="AN75" i="1"/>
  <c r="AM75" i="1"/>
  <c r="AJ75" i="1"/>
  <c r="AH75" i="1"/>
  <c r="AB75" i="1"/>
  <c r="AA75" i="1"/>
  <c r="Y75" i="1"/>
  <c r="V75" i="1"/>
  <c r="U75" i="1"/>
  <c r="T75" i="1"/>
  <c r="N75" i="1"/>
  <c r="P75" i="1" s="1"/>
  <c r="BV74" i="1"/>
  <c r="BQ74" i="1"/>
  <c r="BL74" i="1"/>
  <c r="BJ74" i="1"/>
  <c r="AY74" i="1"/>
  <c r="AX74" i="1"/>
  <c r="AV74" i="1"/>
  <c r="AU74" i="1"/>
  <c r="AO74" i="1"/>
  <c r="AN74" i="1"/>
  <c r="AM74" i="1"/>
  <c r="AH74" i="1"/>
  <c r="AJ74" i="1" s="1"/>
  <c r="AB74" i="1"/>
  <c r="AA74" i="1"/>
  <c r="Y74" i="1"/>
  <c r="V74" i="1"/>
  <c r="U74" i="1"/>
  <c r="T74" i="1"/>
  <c r="P74" i="1"/>
  <c r="N74" i="1"/>
  <c r="BQ73" i="1"/>
  <c r="BF73" i="1"/>
  <c r="AO73" i="1"/>
  <c r="AL73" i="1"/>
  <c r="AI73" i="1"/>
  <c r="AH73" i="1"/>
  <c r="AJ73" i="1" s="1"/>
  <c r="AB73" i="1"/>
  <c r="AA73" i="1"/>
  <c r="Y73" i="1"/>
  <c r="X73" i="1"/>
  <c r="U73" i="1"/>
  <c r="T73" i="1"/>
  <c r="O73" i="1"/>
  <c r="V73" i="1" s="1"/>
  <c r="N73" i="1"/>
  <c r="P73" i="1" s="1"/>
  <c r="M73" i="1"/>
  <c r="BL72" i="1"/>
  <c r="BK72" i="1"/>
  <c r="BQ72" i="1" s="1"/>
  <c r="BF72" i="1"/>
  <c r="AO72" i="1"/>
  <c r="AL72" i="1"/>
  <c r="AI72" i="1"/>
  <c r="AH72" i="1"/>
  <c r="AJ72" i="1" s="1"/>
  <c r="AB72" i="1"/>
  <c r="AA72" i="1"/>
  <c r="X72" i="1"/>
  <c r="Y72" i="1" s="1"/>
  <c r="U72" i="1"/>
  <c r="T72" i="1"/>
  <c r="S72" i="1"/>
  <c r="P72" i="1"/>
  <c r="M72" i="1"/>
  <c r="N72" i="1" s="1"/>
  <c r="O72" i="1" s="1"/>
  <c r="BQ71" i="1"/>
  <c r="BL71" i="1"/>
  <c r="BF71" i="1"/>
  <c r="AO71" i="1"/>
  <c r="AL71" i="1"/>
  <c r="AI71" i="1"/>
  <c r="AH71" i="1"/>
  <c r="AJ71" i="1" s="1"/>
  <c r="AB71" i="1"/>
  <c r="AA71" i="1"/>
  <c r="Y71" i="1"/>
  <c r="X71" i="1"/>
  <c r="U71" i="1"/>
  <c r="T71" i="1"/>
  <c r="S71" i="1"/>
  <c r="V71" i="1" s="1"/>
  <c r="P71" i="1"/>
  <c r="O71" i="1"/>
  <c r="N71" i="1"/>
  <c r="M71" i="1"/>
  <c r="BQ70" i="1"/>
  <c r="BL70" i="1"/>
  <c r="BJ70" i="1"/>
  <c r="BI70" i="1"/>
  <c r="AY70" i="1"/>
  <c r="AX70" i="1"/>
  <c r="AV70" i="1"/>
  <c r="AU70" i="1"/>
  <c r="AO70" i="1"/>
  <c r="AN70" i="1"/>
  <c r="AM70" i="1"/>
  <c r="AH70" i="1"/>
  <c r="AJ70" i="1" s="1"/>
  <c r="AB70" i="1"/>
  <c r="AA70" i="1"/>
  <c r="Y70" i="1"/>
  <c r="V70" i="1"/>
  <c r="U70" i="1"/>
  <c r="T70" i="1"/>
  <c r="P70" i="1"/>
  <c r="N70" i="1"/>
  <c r="BW69" i="1"/>
  <c r="BQ69" i="1"/>
  <c r="BK69" i="1"/>
  <c r="BJ69" i="1"/>
  <c r="BH69" i="1"/>
  <c r="BF69" i="1"/>
  <c r="AY69" i="1"/>
  <c r="AV69" i="1"/>
  <c r="AT69" i="1"/>
  <c r="AN69" i="1"/>
  <c r="AM69" i="1"/>
  <c r="AL69" i="1"/>
  <c r="AJ69" i="1"/>
  <c r="AI69" i="1"/>
  <c r="AO69" i="1" s="1"/>
  <c r="AH69" i="1"/>
  <c r="AB69" i="1"/>
  <c r="AA69" i="1"/>
  <c r="X69" i="1"/>
  <c r="V69" i="1"/>
  <c r="T69" i="1"/>
  <c r="S69" i="1"/>
  <c r="U69" i="1" s="1"/>
  <c r="O69" i="1"/>
  <c r="N69" i="1"/>
  <c r="P69" i="1" s="1"/>
  <c r="M69" i="1"/>
  <c r="BK68" i="1"/>
  <c r="BQ68" i="1" s="1"/>
  <c r="BJ68" i="1"/>
  <c r="BF68" i="1"/>
  <c r="BH68" i="1" s="1"/>
  <c r="AX68" i="1"/>
  <c r="AT68" i="1"/>
  <c r="AL68" i="1"/>
  <c r="AN68" i="1" s="1"/>
  <c r="AI68" i="1"/>
  <c r="AI67" i="1" s="1"/>
  <c r="AO67" i="1" s="1"/>
  <c r="AH68" i="1"/>
  <c r="AJ68" i="1" s="1"/>
  <c r="AJ67" i="1" s="1"/>
  <c r="AA68" i="1"/>
  <c r="X68" i="1"/>
  <c r="U68" i="1"/>
  <c r="S68" i="1"/>
  <c r="O68" i="1"/>
  <c r="O67" i="1" s="1"/>
  <c r="N68" i="1"/>
  <c r="P68" i="1" s="1"/>
  <c r="M68" i="1"/>
  <c r="CD67" i="1"/>
  <c r="BP67" i="1"/>
  <c r="BO67" i="1"/>
  <c r="BN67" i="1"/>
  <c r="BE67" i="1"/>
  <c r="BD67" i="1"/>
  <c r="BD59" i="1" s="1"/>
  <c r="BD48" i="1" s="1"/>
  <c r="BC67" i="1"/>
  <c r="BB67" i="1"/>
  <c r="BA67" i="1"/>
  <c r="AZ67" i="1"/>
  <c r="AU67" i="1"/>
  <c r="AK67" i="1"/>
  <c r="AH67" i="1"/>
  <c r="AH59" i="1" s="1"/>
  <c r="AG67" i="1"/>
  <c r="AF67" i="1"/>
  <c r="AE67" i="1"/>
  <c r="AD67" i="1"/>
  <c r="AC67" i="1"/>
  <c r="Z67" i="1"/>
  <c r="Q67" i="1"/>
  <c r="N67" i="1"/>
  <c r="M67" i="1"/>
  <c r="L67" i="1"/>
  <c r="K67" i="1"/>
  <c r="J67" i="1"/>
  <c r="I67" i="1"/>
  <c r="BV66" i="1"/>
  <c r="BQ66" i="1"/>
  <c r="BM66" i="1"/>
  <c r="BH66" i="1"/>
  <c r="BL66" i="1" s="1"/>
  <c r="BF66" i="1"/>
  <c r="BJ66" i="1" s="1"/>
  <c r="AX66" i="1"/>
  <c r="AW66" i="1"/>
  <c r="AV66" i="1"/>
  <c r="BG66" i="1" s="1"/>
  <c r="AT66" i="1"/>
  <c r="AO66" i="1"/>
  <c r="AL66" i="1"/>
  <c r="AJ66" i="1"/>
  <c r="AI66" i="1"/>
  <c r="AH66" i="1"/>
  <c r="AE66" i="1"/>
  <c r="AE60" i="1" s="1"/>
  <c r="AE59" i="1" s="1"/>
  <c r="AE48" i="1" s="1"/>
  <c r="AD66" i="1"/>
  <c r="AC66" i="1"/>
  <c r="X66" i="1" s="1"/>
  <c r="Y66" i="1" s="1"/>
  <c r="AB66" i="1"/>
  <c r="AA66" i="1"/>
  <c r="V66" i="1"/>
  <c r="U66" i="1"/>
  <c r="T66" i="1"/>
  <c r="N66" i="1"/>
  <c r="P66" i="1" s="1"/>
  <c r="BQ65" i="1"/>
  <c r="BJ65" i="1"/>
  <c r="BI65" i="1"/>
  <c r="BH65" i="1"/>
  <c r="BL65" i="1" s="1"/>
  <c r="BG65" i="1"/>
  <c r="AY65" i="1"/>
  <c r="AW65" i="1"/>
  <c r="AV65" i="1"/>
  <c r="AT65" i="1"/>
  <c r="AX65" i="1" s="1"/>
  <c r="AN65" i="1"/>
  <c r="AJ65" i="1"/>
  <c r="AI65" i="1"/>
  <c r="AM65" i="1" s="1"/>
  <c r="AH65" i="1"/>
  <c r="AB65" i="1"/>
  <c r="AA65" i="1"/>
  <c r="X65" i="1"/>
  <c r="Y65" i="1" s="1"/>
  <c r="T65" i="1"/>
  <c r="S65" i="1"/>
  <c r="U65" i="1" s="1"/>
  <c r="O65" i="1"/>
  <c r="V65" i="1" s="1"/>
  <c r="N65" i="1"/>
  <c r="P65" i="1" s="1"/>
  <c r="M65" i="1"/>
  <c r="BQ64" i="1"/>
  <c r="BL64" i="1"/>
  <c r="BH64" i="1"/>
  <c r="AY64" i="1"/>
  <c r="AX64" i="1"/>
  <c r="AV64" i="1"/>
  <c r="AU64" i="1"/>
  <c r="AO64" i="1"/>
  <c r="AN64" i="1"/>
  <c r="AM64" i="1"/>
  <c r="AH64" i="1"/>
  <c r="AJ64" i="1" s="1"/>
  <c r="AB64" i="1"/>
  <c r="AA64" i="1"/>
  <c r="Y64" i="1"/>
  <c r="V64" i="1"/>
  <c r="U64" i="1"/>
  <c r="T64" i="1"/>
  <c r="P64" i="1"/>
  <c r="P60" i="1" s="1"/>
  <c r="BP63" i="1"/>
  <c r="BF63" i="1"/>
  <c r="BH63" i="1" s="1"/>
  <c r="AX63" i="1"/>
  <c r="AT63" i="1"/>
  <c r="AO63" i="1"/>
  <c r="AL63" i="1"/>
  <c r="AN63" i="1" s="1"/>
  <c r="AH63" i="1"/>
  <c r="AJ63" i="1" s="1"/>
  <c r="AB63" i="1"/>
  <c r="AA63" i="1"/>
  <c r="Y63" i="1"/>
  <c r="X63" i="1"/>
  <c r="U63" i="1"/>
  <c r="P63" i="1"/>
  <c r="O63" i="1"/>
  <c r="S63" i="1" s="1"/>
  <c r="N63" i="1"/>
  <c r="M63" i="1"/>
  <c r="BV62" i="1"/>
  <c r="BQ62" i="1"/>
  <c r="BP62" i="1"/>
  <c r="BM62" i="1"/>
  <c r="BJ62" i="1"/>
  <c r="BH62" i="1"/>
  <c r="BL62" i="1" s="1"/>
  <c r="BG62" i="1"/>
  <c r="AY62" i="1"/>
  <c r="AX62" i="1"/>
  <c r="AW62" i="1"/>
  <c r="AV62" i="1"/>
  <c r="BI62" i="1" s="1"/>
  <c r="AO62" i="1"/>
  <c r="AN62" i="1"/>
  <c r="AM62" i="1"/>
  <c r="AJ62" i="1"/>
  <c r="AJ60" i="1" s="1"/>
  <c r="AH62" i="1"/>
  <c r="AH60" i="1" s="1"/>
  <c r="AB62" i="1"/>
  <c r="AA62" i="1"/>
  <c r="Y62" i="1"/>
  <c r="V62" i="1"/>
  <c r="U62" i="1"/>
  <c r="T62" i="1"/>
  <c r="P62" i="1"/>
  <c r="BV61" i="1"/>
  <c r="BR61" i="1"/>
  <c r="BQ61" i="1"/>
  <c r="BM61" i="1"/>
  <c r="BJ61" i="1"/>
  <c r="BI61" i="1"/>
  <c r="BH61" i="1"/>
  <c r="BL61" i="1" s="1"/>
  <c r="AY61" i="1"/>
  <c r="AX61" i="1"/>
  <c r="AV61" i="1"/>
  <c r="AO61" i="1"/>
  <c r="AN61" i="1"/>
  <c r="AM61" i="1"/>
  <c r="AJ61" i="1"/>
  <c r="AH61" i="1"/>
  <c r="AB61" i="1"/>
  <c r="AB60" i="1" s="1"/>
  <c r="AA61" i="1"/>
  <c r="X61" i="1"/>
  <c r="Y61" i="1" s="1"/>
  <c r="V61" i="1"/>
  <c r="U61" i="1"/>
  <c r="T61" i="1"/>
  <c r="P61" i="1"/>
  <c r="N61" i="1"/>
  <c r="M61" i="1"/>
  <c r="CD60" i="1"/>
  <c r="CD59" i="1" s="1"/>
  <c r="BO60" i="1"/>
  <c r="BN60" i="1"/>
  <c r="BN59" i="1" s="1"/>
  <c r="BE60" i="1"/>
  <c r="BD60" i="1"/>
  <c r="BC60" i="1"/>
  <c r="BB60" i="1"/>
  <c r="BB59" i="1" s="1"/>
  <c r="BA60" i="1"/>
  <c r="AZ60" i="1"/>
  <c r="AZ59" i="1" s="1"/>
  <c r="AT60" i="1"/>
  <c r="AK60" i="1"/>
  <c r="AI60" i="1"/>
  <c r="AO60" i="1" s="1"/>
  <c r="AG60" i="1"/>
  <c r="AF60" i="1"/>
  <c r="AF59" i="1" s="1"/>
  <c r="AD60" i="1"/>
  <c r="AC60" i="1"/>
  <c r="AC59" i="1" s="1"/>
  <c r="AA60" i="1"/>
  <c r="Z60" i="1"/>
  <c r="Z59" i="1" s="1"/>
  <c r="S60" i="1"/>
  <c r="Q60" i="1"/>
  <c r="L60" i="1"/>
  <c r="L59" i="1" s="1"/>
  <c r="K60" i="1"/>
  <c r="J60" i="1"/>
  <c r="J59" i="1" s="1"/>
  <c r="I60" i="1"/>
  <c r="I59" i="1" s="1"/>
  <c r="BO59" i="1"/>
  <c r="BC59" i="1"/>
  <c r="BA59" i="1"/>
  <c r="AG59" i="1"/>
  <c r="AD59" i="1"/>
  <c r="AA59" i="1"/>
  <c r="K59" i="1"/>
  <c r="BR58" i="1"/>
  <c r="BP58" i="1"/>
  <c r="BQ58" i="1" s="1"/>
  <c r="BM58" i="1"/>
  <c r="BL58" i="1"/>
  <c r="BJ58" i="1"/>
  <c r="BJ57" i="1" s="1"/>
  <c r="BH58" i="1"/>
  <c r="BG58" i="1"/>
  <c r="AY58" i="1"/>
  <c r="AY57" i="1" s="1"/>
  <c r="AX58" i="1"/>
  <c r="AW58" i="1"/>
  <c r="AW57" i="1" s="1"/>
  <c r="AV58" i="1"/>
  <c r="BI58" i="1" s="1"/>
  <c r="BI57" i="1" s="1"/>
  <c r="AN58" i="1"/>
  <c r="AM58" i="1"/>
  <c r="AJ58" i="1"/>
  <c r="AI58" i="1"/>
  <c r="AO58" i="1" s="1"/>
  <c r="AB58" i="1"/>
  <c r="AA58" i="1"/>
  <c r="Y58" i="1"/>
  <c r="X58" i="1"/>
  <c r="X57" i="1" s="1"/>
  <c r="Y57" i="1" s="1"/>
  <c r="U58" i="1"/>
  <c r="T58" i="1"/>
  <c r="S58" i="1"/>
  <c r="V58" i="1" s="1"/>
  <c r="N58" i="1"/>
  <c r="M58" i="1"/>
  <c r="CD57" i="1"/>
  <c r="BO57" i="1"/>
  <c r="BN57" i="1"/>
  <c r="BM57" i="1"/>
  <c r="BL57" i="1"/>
  <c r="BK57" i="1"/>
  <c r="BH57" i="1"/>
  <c r="BV57" i="1" s="1"/>
  <c r="BG57" i="1"/>
  <c r="BF57" i="1"/>
  <c r="BE57" i="1"/>
  <c r="BD57" i="1"/>
  <c r="BC57" i="1"/>
  <c r="BB57" i="1"/>
  <c r="BA57" i="1"/>
  <c r="AZ57" i="1"/>
  <c r="AX57" i="1"/>
  <c r="AV57" i="1"/>
  <c r="AU57" i="1"/>
  <c r="AT57" i="1"/>
  <c r="AO57" i="1"/>
  <c r="AL57" i="1"/>
  <c r="AM57" i="1" s="1"/>
  <c r="AK57" i="1"/>
  <c r="AJ57" i="1"/>
  <c r="AI57" i="1"/>
  <c r="AH57" i="1"/>
  <c r="AG57" i="1"/>
  <c r="AF57" i="1"/>
  <c r="AE57" i="1"/>
  <c r="AD57" i="1"/>
  <c r="AC57" i="1"/>
  <c r="AB57" i="1"/>
  <c r="AA57" i="1"/>
  <c r="Z57" i="1"/>
  <c r="Z49" i="1" s="1"/>
  <c r="Z48" i="1" s="1"/>
  <c r="S57" i="1"/>
  <c r="T57" i="1" s="1"/>
  <c r="Q57" i="1"/>
  <c r="O57" i="1"/>
  <c r="M57" i="1"/>
  <c r="L57" i="1"/>
  <c r="K57" i="1"/>
  <c r="J57" i="1"/>
  <c r="I57" i="1"/>
  <c r="BQ56" i="1"/>
  <c r="BL56" i="1"/>
  <c r="AY56" i="1"/>
  <c r="AX56" i="1"/>
  <c r="AV56" i="1"/>
  <c r="BV56" i="1" s="1"/>
  <c r="AU56" i="1"/>
  <c r="BJ56" i="1" s="1"/>
  <c r="AO56" i="1"/>
  <c r="AN56" i="1"/>
  <c r="AM56" i="1"/>
  <c r="AJ56" i="1"/>
  <c r="BV55" i="1"/>
  <c r="BR55" i="1"/>
  <c r="BQ55" i="1"/>
  <c r="BM55" i="1"/>
  <c r="BL55" i="1"/>
  <c r="BJ55" i="1"/>
  <c r="BI55" i="1"/>
  <c r="BG55" i="1"/>
  <c r="AY55" i="1"/>
  <c r="AX55" i="1"/>
  <c r="AW55" i="1"/>
  <c r="AV55" i="1"/>
  <c r="AU55" i="1"/>
  <c r="AO55" i="1"/>
  <c r="AN55" i="1"/>
  <c r="AM55" i="1"/>
  <c r="AJ55" i="1"/>
  <c r="AB55" i="1"/>
  <c r="AB54" i="1" s="1"/>
  <c r="AA55" i="1"/>
  <c r="Y55" i="1"/>
  <c r="Y54" i="1" s="1"/>
  <c r="V55" i="1"/>
  <c r="U55" i="1"/>
  <c r="T55" i="1"/>
  <c r="P55" i="1"/>
  <c r="BV54" i="1"/>
  <c r="BR54" i="1"/>
  <c r="BQ54" i="1"/>
  <c r="BM54" i="1"/>
  <c r="BL54" i="1"/>
  <c r="BJ54" i="1"/>
  <c r="BI54" i="1"/>
  <c r="BG54" i="1"/>
  <c r="AY54" i="1"/>
  <c r="AX54" i="1"/>
  <c r="AW54" i="1"/>
  <c r="AV54" i="1"/>
  <c r="AU54" i="1"/>
  <c r="AO54" i="1"/>
  <c r="AM54" i="1"/>
  <c r="AI54" i="1"/>
  <c r="AH54" i="1"/>
  <c r="AJ54" i="1" s="1"/>
  <c r="AG54" i="1"/>
  <c r="AF54" i="1"/>
  <c r="AE54" i="1"/>
  <c r="AD54" i="1"/>
  <c r="AC54" i="1"/>
  <c r="AA54" i="1"/>
  <c r="Z54" i="1"/>
  <c r="AN54" i="1" s="1"/>
  <c r="X54" i="1"/>
  <c r="U54" i="1"/>
  <c r="T54" i="1"/>
  <c r="S54" i="1"/>
  <c r="R54" i="1"/>
  <c r="Q54" i="1"/>
  <c r="P54" i="1"/>
  <c r="O54" i="1"/>
  <c r="V54" i="1" s="1"/>
  <c r="N54" i="1"/>
  <c r="M54" i="1"/>
  <c r="L54" i="1"/>
  <c r="K54" i="1"/>
  <c r="J54" i="1"/>
  <c r="I54" i="1"/>
  <c r="I49" i="1" s="1"/>
  <c r="I48" i="1" s="1"/>
  <c r="BV53" i="1"/>
  <c r="BQ53" i="1"/>
  <c r="BL53" i="1"/>
  <c r="BI53" i="1"/>
  <c r="AY53" i="1"/>
  <c r="AX53" i="1"/>
  <c r="AV53" i="1"/>
  <c r="AU53" i="1"/>
  <c r="BJ53" i="1" s="1"/>
  <c r="AO53" i="1"/>
  <c r="AN53" i="1"/>
  <c r="AM53" i="1"/>
  <c r="AJ53" i="1"/>
  <c r="AB53" i="1"/>
  <c r="AA53" i="1"/>
  <c r="Y53" i="1"/>
  <c r="V53" i="1"/>
  <c r="U53" i="1"/>
  <c r="T53" i="1"/>
  <c r="P53" i="1"/>
  <c r="BQ52" i="1"/>
  <c r="BK52" i="1"/>
  <c r="BL52" i="1" s="1"/>
  <c r="BH52" i="1"/>
  <c r="BH50" i="1" s="1"/>
  <c r="BF52" i="1"/>
  <c r="AX52" i="1"/>
  <c r="AX50" i="1" s="1"/>
  <c r="AX49" i="1" s="1"/>
  <c r="AV52" i="1"/>
  <c r="AL52" i="1"/>
  <c r="AI52" i="1"/>
  <c r="AO52" i="1" s="1"/>
  <c r="AH52" i="1"/>
  <c r="AJ52" i="1" s="1"/>
  <c r="AB52" i="1"/>
  <c r="AA52" i="1"/>
  <c r="Y52" i="1"/>
  <c r="X52" i="1"/>
  <c r="V52" i="1"/>
  <c r="U52" i="1"/>
  <c r="T52" i="1"/>
  <c r="O52" i="1"/>
  <c r="M52" i="1"/>
  <c r="BQ51" i="1"/>
  <c r="BJ51" i="1"/>
  <c r="BH51" i="1"/>
  <c r="BL51" i="1" s="1"/>
  <c r="BL50" i="1" s="1"/>
  <c r="BL49" i="1" s="1"/>
  <c r="AY51" i="1"/>
  <c r="AX51" i="1"/>
  <c r="AV51" i="1"/>
  <c r="AO51" i="1"/>
  <c r="AN51" i="1"/>
  <c r="AM51" i="1"/>
  <c r="AH51" i="1"/>
  <c r="AJ51" i="1" s="1"/>
  <c r="AJ50" i="1" s="1"/>
  <c r="AB51" i="1"/>
  <c r="AA51" i="1"/>
  <c r="X51" i="1"/>
  <c r="X50" i="1" s="1"/>
  <c r="Y50" i="1" s="1"/>
  <c r="U51" i="1"/>
  <c r="T51" i="1"/>
  <c r="O51" i="1"/>
  <c r="N51" i="1"/>
  <c r="P51" i="1" s="1"/>
  <c r="M51" i="1"/>
  <c r="CD50" i="1"/>
  <c r="BP50" i="1"/>
  <c r="BO50" i="1"/>
  <c r="BN50" i="1"/>
  <c r="BE50" i="1"/>
  <c r="BD50" i="1"/>
  <c r="BD49" i="1" s="1"/>
  <c r="BC50" i="1"/>
  <c r="BB50" i="1"/>
  <c r="BB49" i="1" s="1"/>
  <c r="BB48" i="1" s="1"/>
  <c r="BA50" i="1"/>
  <c r="BA49" i="1" s="1"/>
  <c r="BA48" i="1" s="1"/>
  <c r="AZ50" i="1"/>
  <c r="AZ49" i="1" s="1"/>
  <c r="AZ48" i="1" s="1"/>
  <c r="AU50" i="1"/>
  <c r="AT50" i="1"/>
  <c r="AO50" i="1"/>
  <c r="AK50" i="1"/>
  <c r="AK49" i="1" s="1"/>
  <c r="AI50" i="1"/>
  <c r="AH50" i="1"/>
  <c r="AG50" i="1"/>
  <c r="AF50" i="1"/>
  <c r="AE50" i="1"/>
  <c r="AE49" i="1" s="1"/>
  <c r="AD50" i="1"/>
  <c r="AC50" i="1"/>
  <c r="AC49" i="1" s="1"/>
  <c r="AC48" i="1" s="1"/>
  <c r="AB50" i="1"/>
  <c r="Z50" i="1"/>
  <c r="S50" i="1"/>
  <c r="T50" i="1" s="1"/>
  <c r="Q50" i="1"/>
  <c r="L50" i="1"/>
  <c r="L49" i="1" s="1"/>
  <c r="L48" i="1" s="1"/>
  <c r="K50" i="1"/>
  <c r="J50" i="1"/>
  <c r="J49" i="1" s="1"/>
  <c r="I50" i="1"/>
  <c r="CD49" i="1"/>
  <c r="CD48" i="1" s="1"/>
  <c r="BO49" i="1"/>
  <c r="BO48" i="1" s="1"/>
  <c r="BN49" i="1"/>
  <c r="BN48" i="1" s="1"/>
  <c r="BE49" i="1"/>
  <c r="BC49" i="1"/>
  <c r="BC48" i="1" s="1"/>
  <c r="AT49" i="1"/>
  <c r="AO49" i="1"/>
  <c r="AI49" i="1"/>
  <c r="AG49" i="1"/>
  <c r="AF49" i="1"/>
  <c r="AF48" i="1" s="1"/>
  <c r="AD49" i="1"/>
  <c r="AD48" i="1" s="1"/>
  <c r="X49" i="1"/>
  <c r="AG48" i="1"/>
  <c r="BV47" i="1"/>
  <c r="BR47" i="1"/>
  <c r="BQ47" i="1"/>
  <c r="BM47" i="1"/>
  <c r="BL47" i="1"/>
  <c r="BJ47" i="1"/>
  <c r="BI47" i="1"/>
  <c r="BG47" i="1"/>
  <c r="AY47" i="1"/>
  <c r="AX47" i="1"/>
  <c r="AW47" i="1"/>
  <c r="AO47" i="1"/>
  <c r="AN47" i="1"/>
  <c r="AM47" i="1"/>
  <c r="AJ47" i="1"/>
  <c r="AB47" i="1"/>
  <c r="AA47" i="1"/>
  <c r="Y47" i="1"/>
  <c r="V47" i="1"/>
  <c r="U47" i="1"/>
  <c r="T47" i="1"/>
  <c r="P47" i="1"/>
  <c r="BV46" i="1"/>
  <c r="BR46" i="1"/>
  <c r="BQ46" i="1"/>
  <c r="BM46" i="1"/>
  <c r="BL46" i="1"/>
  <c r="BJ46" i="1"/>
  <c r="BI46" i="1"/>
  <c r="BG46" i="1"/>
  <c r="AY46" i="1"/>
  <c r="AX46" i="1"/>
  <c r="AW46" i="1"/>
  <c r="AO46" i="1"/>
  <c r="AN46" i="1"/>
  <c r="AM46" i="1"/>
  <c r="AJ46" i="1"/>
  <c r="AB46" i="1"/>
  <c r="AA46" i="1"/>
  <c r="Y46" i="1"/>
  <c r="V46" i="1"/>
  <c r="U46" i="1"/>
  <c r="T46" i="1"/>
  <c r="P46" i="1"/>
  <c r="BV45" i="1"/>
  <c r="BR45" i="1"/>
  <c r="BQ45" i="1"/>
  <c r="BM45" i="1"/>
  <c r="BL45" i="1"/>
  <c r="BJ45" i="1"/>
  <c r="BI45" i="1"/>
  <c r="BG45" i="1"/>
  <c r="AY45" i="1"/>
  <c r="AX45" i="1"/>
  <c r="AW45" i="1"/>
  <c r="AO45" i="1"/>
  <c r="AN45" i="1"/>
  <c r="AM45" i="1"/>
  <c r="AJ45" i="1"/>
  <c r="AB45" i="1"/>
  <c r="AA45" i="1"/>
  <c r="Y45" i="1"/>
  <c r="V45" i="1"/>
  <c r="U45" i="1"/>
  <c r="T45" i="1"/>
  <c r="P45" i="1"/>
  <c r="BV44" i="1"/>
  <c r="BR44" i="1"/>
  <c r="BQ44" i="1"/>
  <c r="BM44" i="1"/>
  <c r="BL44" i="1"/>
  <c r="BJ44" i="1"/>
  <c r="BI44" i="1"/>
  <c r="BG44" i="1"/>
  <c r="AY44" i="1"/>
  <c r="AX44" i="1"/>
  <c r="AW44" i="1"/>
  <c r="AO44" i="1"/>
  <c r="AN44" i="1"/>
  <c r="AM44" i="1"/>
  <c r="AJ44" i="1"/>
  <c r="AB44" i="1"/>
  <c r="AA44" i="1"/>
  <c r="Y44" i="1"/>
  <c r="V44" i="1"/>
  <c r="U44" i="1"/>
  <c r="T44" i="1"/>
  <c r="P44" i="1"/>
  <c r="BV43" i="1"/>
  <c r="BR43" i="1"/>
  <c r="BQ43" i="1"/>
  <c r="BM43" i="1"/>
  <c r="BL43" i="1"/>
  <c r="BJ43" i="1"/>
  <c r="BI43" i="1"/>
  <c r="BG43" i="1"/>
  <c r="AY43" i="1"/>
  <c r="AX43" i="1"/>
  <c r="AW43" i="1"/>
  <c r="AO43" i="1"/>
  <c r="AN43" i="1"/>
  <c r="AM43" i="1"/>
  <c r="AJ43" i="1"/>
  <c r="AB43" i="1"/>
  <c r="AA43" i="1"/>
  <c r="Y43" i="1"/>
  <c r="V43" i="1"/>
  <c r="U43" i="1"/>
  <c r="T43" i="1"/>
  <c r="P43" i="1"/>
  <c r="BV42" i="1"/>
  <c r="BR42" i="1"/>
  <c r="BQ42" i="1"/>
  <c r="BM42" i="1"/>
  <c r="BL42" i="1"/>
  <c r="BJ42" i="1"/>
  <c r="BI42" i="1"/>
  <c r="BG42" i="1"/>
  <c r="AY42" i="1"/>
  <c r="AX42" i="1"/>
  <c r="AW42" i="1"/>
  <c r="AO42" i="1"/>
  <c r="AN42" i="1"/>
  <c r="AM42" i="1"/>
  <c r="AJ42" i="1"/>
  <c r="AB42" i="1"/>
  <c r="AA42" i="1"/>
  <c r="Y42" i="1"/>
  <c r="V42" i="1"/>
  <c r="U42" i="1"/>
  <c r="T42" i="1"/>
  <c r="P42" i="1"/>
  <c r="BV41" i="1"/>
  <c r="BR41" i="1"/>
  <c r="BQ41" i="1"/>
  <c r="BM41" i="1"/>
  <c r="BL41" i="1"/>
  <c r="BJ41" i="1"/>
  <c r="BI41" i="1"/>
  <c r="BG41" i="1"/>
  <c r="AY41" i="1"/>
  <c r="AX41" i="1"/>
  <c r="AW41" i="1"/>
  <c r="AO41" i="1"/>
  <c r="AN41" i="1"/>
  <c r="AM41" i="1"/>
  <c r="AJ41" i="1"/>
  <c r="AB41" i="1"/>
  <c r="AA41" i="1"/>
  <c r="Y41" i="1"/>
  <c r="V41" i="1"/>
  <c r="U41" i="1"/>
  <c r="T41" i="1"/>
  <c r="P41" i="1"/>
  <c r="BV40" i="1"/>
  <c r="BR40" i="1"/>
  <c r="BQ40" i="1"/>
  <c r="BM40" i="1"/>
  <c r="BL40" i="1"/>
  <c r="BJ40" i="1"/>
  <c r="BI40" i="1"/>
  <c r="BG40" i="1"/>
  <c r="AY40" i="1"/>
  <c r="AX40" i="1"/>
  <c r="AW40" i="1"/>
  <c r="AO40" i="1"/>
  <c r="AN40" i="1"/>
  <c r="AM40" i="1"/>
  <c r="AJ40" i="1"/>
  <c r="AB40" i="1"/>
  <c r="AA40" i="1"/>
  <c r="Y40" i="1"/>
  <c r="V40" i="1"/>
  <c r="U40" i="1"/>
  <c r="T40" i="1"/>
  <c r="P40" i="1"/>
  <c r="P39" i="1" s="1"/>
  <c r="BV39" i="1"/>
  <c r="BR39" i="1"/>
  <c r="BQ39" i="1"/>
  <c r="BM39" i="1"/>
  <c r="BL39" i="1"/>
  <c r="BJ39" i="1"/>
  <c r="BI39" i="1"/>
  <c r="BG39" i="1"/>
  <c r="AY39" i="1"/>
  <c r="AX39" i="1"/>
  <c r="AW39" i="1"/>
  <c r="AO39" i="1"/>
  <c r="AN39" i="1"/>
  <c r="AM39" i="1"/>
  <c r="AJ39" i="1"/>
  <c r="AB39" i="1"/>
  <c r="Y39" i="1"/>
  <c r="U39" i="1"/>
  <c r="Q39" i="1"/>
  <c r="O39" i="1"/>
  <c r="V39" i="1" s="1"/>
  <c r="N39" i="1"/>
  <c r="M39" i="1"/>
  <c r="L39" i="1"/>
  <c r="K39" i="1"/>
  <c r="J39" i="1"/>
  <c r="I39" i="1"/>
  <c r="H39" i="1"/>
  <c r="G39" i="1"/>
  <c r="BV38" i="1"/>
  <c r="BR38" i="1"/>
  <c r="BQ38" i="1"/>
  <c r="BM38" i="1"/>
  <c r="BL38" i="1"/>
  <c r="BJ38" i="1"/>
  <c r="BI38" i="1"/>
  <c r="BG38" i="1"/>
  <c r="AY38" i="1"/>
  <c r="AX38" i="1"/>
  <c r="AW38" i="1"/>
  <c r="AO38" i="1"/>
  <c r="AN38" i="1"/>
  <c r="AM38" i="1"/>
  <c r="AJ38" i="1"/>
  <c r="AB38" i="1"/>
  <c r="AA38" i="1"/>
  <c r="Y38" i="1"/>
  <c r="V38" i="1"/>
  <c r="U38" i="1"/>
  <c r="T38" i="1"/>
  <c r="P38" i="1"/>
  <c r="BV37" i="1"/>
  <c r="BR37" i="1"/>
  <c r="BQ37" i="1"/>
  <c r="BM37" i="1"/>
  <c r="BL37" i="1"/>
  <c r="BL35" i="1" s="1"/>
  <c r="BL34" i="1" s="1"/>
  <c r="BJ37" i="1"/>
  <c r="BI37" i="1"/>
  <c r="BG37" i="1"/>
  <c r="AY37" i="1"/>
  <c r="AX37" i="1"/>
  <c r="AW37" i="1"/>
  <c r="AO37" i="1"/>
  <c r="AN37" i="1"/>
  <c r="AM37" i="1"/>
  <c r="AJ37" i="1"/>
  <c r="AB37" i="1"/>
  <c r="AA37" i="1"/>
  <c r="Y37" i="1"/>
  <c r="V37" i="1"/>
  <c r="U37" i="1"/>
  <c r="T37" i="1"/>
  <c r="P37" i="1"/>
  <c r="BR36" i="1"/>
  <c r="BQ36" i="1"/>
  <c r="BM36" i="1"/>
  <c r="BM35" i="1" s="1"/>
  <c r="BM34" i="1" s="1"/>
  <c r="BL36" i="1"/>
  <c r="BJ36" i="1"/>
  <c r="BG36" i="1"/>
  <c r="AX36" i="1"/>
  <c r="AX35" i="1" s="1"/>
  <c r="AX34" i="1" s="1"/>
  <c r="AV36" i="1"/>
  <c r="BI36" i="1" s="1"/>
  <c r="AT36" i="1"/>
  <c r="AP36" i="1"/>
  <c r="AL36" i="1"/>
  <c r="AJ36" i="1"/>
  <c r="AJ35" i="1" s="1"/>
  <c r="AJ34" i="1" s="1"/>
  <c r="AI36" i="1"/>
  <c r="AO36" i="1" s="1"/>
  <c r="AA36" i="1"/>
  <c r="X36" i="1"/>
  <c r="X35" i="1" s="1"/>
  <c r="X34" i="1" s="1"/>
  <c r="S36" i="1"/>
  <c r="U36" i="1" s="1"/>
  <c r="O36" i="1"/>
  <c r="O35" i="1" s="1"/>
  <c r="O34" i="1" s="1"/>
  <c r="M36" i="1"/>
  <c r="N36" i="1" s="1"/>
  <c r="CD35" i="1"/>
  <c r="BV35" i="1"/>
  <c r="BP35" i="1"/>
  <c r="BO35" i="1"/>
  <c r="BO34" i="1" s="1"/>
  <c r="BN35" i="1"/>
  <c r="BK35" i="1"/>
  <c r="BQ35" i="1" s="1"/>
  <c r="BI35" i="1"/>
  <c r="BH35" i="1"/>
  <c r="BG35" i="1"/>
  <c r="BG34" i="1" s="1"/>
  <c r="BF35" i="1"/>
  <c r="BE35" i="1"/>
  <c r="BD35" i="1"/>
  <c r="BC35" i="1"/>
  <c r="BB35" i="1"/>
  <c r="BA35" i="1"/>
  <c r="BA34" i="1" s="1"/>
  <c r="AZ35" i="1"/>
  <c r="AV35" i="1"/>
  <c r="BR35" i="1" s="1"/>
  <c r="AU35" i="1"/>
  <c r="AT35" i="1"/>
  <c r="AK35" i="1"/>
  <c r="AH35" i="1"/>
  <c r="AG35" i="1"/>
  <c r="AF35" i="1"/>
  <c r="AE35" i="1"/>
  <c r="AE34" i="1" s="1"/>
  <c r="AD35" i="1"/>
  <c r="AC35" i="1"/>
  <c r="AA35" i="1"/>
  <c r="Z35" i="1"/>
  <c r="Q35" i="1"/>
  <c r="Q34" i="1" s="1"/>
  <c r="M35" i="1"/>
  <c r="L35" i="1"/>
  <c r="K35" i="1"/>
  <c r="K34" i="1" s="1"/>
  <c r="J35" i="1"/>
  <c r="I35" i="1"/>
  <c r="H35" i="1"/>
  <c r="G35" i="1"/>
  <c r="CD34" i="1"/>
  <c r="BV34" i="1"/>
  <c r="BP34" i="1"/>
  <c r="BN34" i="1"/>
  <c r="BI34" i="1"/>
  <c r="BH34" i="1"/>
  <c r="BF34" i="1"/>
  <c r="BE34" i="1"/>
  <c r="BD34" i="1"/>
  <c r="BC34" i="1"/>
  <c r="BB34" i="1"/>
  <c r="AZ34" i="1"/>
  <c r="AV34" i="1"/>
  <c r="BR34" i="1" s="1"/>
  <c r="AU34" i="1"/>
  <c r="AT34" i="1"/>
  <c r="AK34" i="1"/>
  <c r="AH34" i="1"/>
  <c r="AG34" i="1"/>
  <c r="AF34" i="1"/>
  <c r="AD34" i="1"/>
  <c r="AC34" i="1"/>
  <c r="AA34" i="1"/>
  <c r="Z34" i="1"/>
  <c r="M34" i="1"/>
  <c r="L34" i="1"/>
  <c r="J34" i="1"/>
  <c r="I34" i="1"/>
  <c r="H34" i="1"/>
  <c r="G34" i="1"/>
  <c r="BK33" i="1"/>
  <c r="BF33" i="1"/>
  <c r="BJ33" i="1" s="1"/>
  <c r="AX33" i="1"/>
  <c r="AV33" i="1"/>
  <c r="AT33" i="1"/>
  <c r="AY33" i="1" s="1"/>
  <c r="AO33" i="1"/>
  <c r="AM33" i="1"/>
  <c r="AL33" i="1"/>
  <c r="AL30" i="1" s="1"/>
  <c r="AN30" i="1" s="1"/>
  <c r="AI33" i="1"/>
  <c r="AH33" i="1"/>
  <c r="AJ33" i="1" s="1"/>
  <c r="AA33" i="1"/>
  <c r="X33" i="1"/>
  <c r="S33" i="1"/>
  <c r="M33" i="1"/>
  <c r="N33" i="1" s="1"/>
  <c r="P33" i="1" s="1"/>
  <c r="BR32" i="1"/>
  <c r="BQ32" i="1"/>
  <c r="BL32" i="1"/>
  <c r="BJ32" i="1"/>
  <c r="BG32" i="1"/>
  <c r="AY32" i="1"/>
  <c r="AX32" i="1"/>
  <c r="AV32" i="1"/>
  <c r="AU32" i="1"/>
  <c r="AO32" i="1"/>
  <c r="AN32" i="1"/>
  <c r="AM32" i="1"/>
  <c r="AJ32" i="1"/>
  <c r="AB32" i="1"/>
  <c r="AA32" i="1"/>
  <c r="Y32" i="1"/>
  <c r="V32" i="1"/>
  <c r="U32" i="1"/>
  <c r="T32" i="1"/>
  <c r="P32" i="1"/>
  <c r="BR31" i="1"/>
  <c r="BQ31" i="1"/>
  <c r="BM31" i="1"/>
  <c r="BK31" i="1"/>
  <c r="BL31" i="1" s="1"/>
  <c r="BF31" i="1"/>
  <c r="AX31" i="1"/>
  <c r="AX30" i="1" s="1"/>
  <c r="AV31" i="1"/>
  <c r="AT31" i="1"/>
  <c r="AY31" i="1" s="1"/>
  <c r="AY30" i="1" s="1"/>
  <c r="AO31" i="1"/>
  <c r="AN31" i="1"/>
  <c r="AL31" i="1"/>
  <c r="AI31" i="1"/>
  <c r="AM31" i="1" s="1"/>
  <c r="AH31" i="1"/>
  <c r="AH30" i="1" s="1"/>
  <c r="AA31" i="1"/>
  <c r="AA30" i="1" s="1"/>
  <c r="X31" i="1"/>
  <c r="U31" i="1"/>
  <c r="S31" i="1"/>
  <c r="AB31" i="1" s="1"/>
  <c r="M31" i="1"/>
  <c r="N31" i="1" s="1"/>
  <c r="CD30" i="1"/>
  <c r="BP30" i="1"/>
  <c r="BO30" i="1"/>
  <c r="BO24" i="1" s="1"/>
  <c r="BN30" i="1"/>
  <c r="BK30" i="1"/>
  <c r="BQ30" i="1" s="1"/>
  <c r="BH30" i="1"/>
  <c r="BE30" i="1"/>
  <c r="BE24" i="1" s="1"/>
  <c r="BD30" i="1"/>
  <c r="BC30" i="1"/>
  <c r="BC24" i="1" s="1"/>
  <c r="BB30" i="1"/>
  <c r="BA30" i="1"/>
  <c r="BA24" i="1" s="1"/>
  <c r="AZ30" i="1"/>
  <c r="AU30" i="1"/>
  <c r="AO30" i="1"/>
  <c r="AK30" i="1"/>
  <c r="AK24" i="1" s="1"/>
  <c r="AI30" i="1"/>
  <c r="AG30" i="1"/>
  <c r="AG24" i="1" s="1"/>
  <c r="AF30" i="1"/>
  <c r="AE30" i="1"/>
  <c r="AE24" i="1" s="1"/>
  <c r="AD30" i="1"/>
  <c r="AC30" i="1"/>
  <c r="AC24" i="1" s="1"/>
  <c r="Z30" i="1"/>
  <c r="Q30" i="1"/>
  <c r="Q24" i="1" s="1"/>
  <c r="L30" i="1"/>
  <c r="K30" i="1"/>
  <c r="K24" i="1" s="1"/>
  <c r="J30" i="1"/>
  <c r="I30" i="1"/>
  <c r="I24" i="1" s="1"/>
  <c r="H30" i="1"/>
  <c r="G30" i="1"/>
  <c r="G24" i="1" s="1"/>
  <c r="BK29" i="1"/>
  <c r="BF29" i="1"/>
  <c r="BE29" i="1"/>
  <c r="AT29" i="1"/>
  <c r="AN29" i="1"/>
  <c r="AL29" i="1"/>
  <c r="AM29" i="1" s="1"/>
  <c r="AJ29" i="1"/>
  <c r="AI29" i="1"/>
  <c r="AO29" i="1" s="1"/>
  <c r="AB29" i="1"/>
  <c r="AA29" i="1"/>
  <c r="Y29" i="1"/>
  <c r="V29" i="1"/>
  <c r="U29" i="1"/>
  <c r="T29" i="1"/>
  <c r="N29" i="1"/>
  <c r="P29" i="1" s="1"/>
  <c r="M29" i="1"/>
  <c r="BQ28" i="1"/>
  <c r="BL28" i="1"/>
  <c r="BK28" i="1"/>
  <c r="BJ28" i="1"/>
  <c r="BF28" i="1"/>
  <c r="AT28" i="1"/>
  <c r="AT25" i="1" s="1"/>
  <c r="AO28" i="1"/>
  <c r="AN28" i="1"/>
  <c r="AM28" i="1"/>
  <c r="AL28" i="1"/>
  <c r="AI28" i="1"/>
  <c r="AH28" i="1"/>
  <c r="AJ28" i="1" s="1"/>
  <c r="AA28" i="1"/>
  <c r="X28" i="1"/>
  <c r="Y28" i="1" s="1"/>
  <c r="U28" i="1"/>
  <c r="S28" i="1"/>
  <c r="M28" i="1"/>
  <c r="N28" i="1" s="1"/>
  <c r="P28" i="1" s="1"/>
  <c r="BQ27" i="1"/>
  <c r="BL27" i="1"/>
  <c r="BJ27" i="1"/>
  <c r="AY27" i="1"/>
  <c r="AX27" i="1"/>
  <c r="AV27" i="1"/>
  <c r="BM27" i="1" s="1"/>
  <c r="AU27" i="1"/>
  <c r="AU25" i="1" s="1"/>
  <c r="AU24" i="1" s="1"/>
  <c r="AO27" i="1"/>
  <c r="AN27" i="1"/>
  <c r="AM27" i="1"/>
  <c r="AJ27" i="1"/>
  <c r="AB27" i="1"/>
  <c r="AA27" i="1"/>
  <c r="Y27" i="1"/>
  <c r="V27" i="1"/>
  <c r="U27" i="1"/>
  <c r="T27" i="1"/>
  <c r="P27" i="1"/>
  <c r="M27" i="1"/>
  <c r="N27" i="1" s="1"/>
  <c r="N25" i="1" s="1"/>
  <c r="BK26" i="1"/>
  <c r="BF26" i="1"/>
  <c r="BJ26" i="1" s="1"/>
  <c r="AV26" i="1"/>
  <c r="AT26" i="1"/>
  <c r="AY26" i="1" s="1"/>
  <c r="AP26" i="1"/>
  <c r="AN26" i="1"/>
  <c r="AL26" i="1"/>
  <c r="AJ26" i="1"/>
  <c r="AI26" i="1"/>
  <c r="AH26" i="1"/>
  <c r="AB26" i="1"/>
  <c r="AA26" i="1"/>
  <c r="Y26" i="1"/>
  <c r="X26" i="1"/>
  <c r="V26" i="1"/>
  <c r="T26" i="1"/>
  <c r="S26" i="1"/>
  <c r="U26" i="1" s="1"/>
  <c r="P26" i="1"/>
  <c r="P25" i="1" s="1"/>
  <c r="N26" i="1"/>
  <c r="O26" i="1" s="1"/>
  <c r="M26" i="1"/>
  <c r="M25" i="1" s="1"/>
  <c r="CD25" i="1"/>
  <c r="BP25" i="1"/>
  <c r="BO25" i="1"/>
  <c r="BN25" i="1"/>
  <c r="BH25" i="1"/>
  <c r="BE25" i="1"/>
  <c r="BD25" i="1"/>
  <c r="BC25" i="1"/>
  <c r="BB25" i="1"/>
  <c r="BB24" i="1" s="1"/>
  <c r="BA25" i="1"/>
  <c r="AZ25" i="1"/>
  <c r="AN25" i="1"/>
  <c r="AL25" i="1"/>
  <c r="AK25" i="1"/>
  <c r="AH25" i="1"/>
  <c r="AH24" i="1" s="1"/>
  <c r="AG25" i="1"/>
  <c r="AF25" i="1"/>
  <c r="AE25" i="1"/>
  <c r="AD25" i="1"/>
  <c r="AD24" i="1" s="1"/>
  <c r="AC25" i="1"/>
  <c r="Z25" i="1"/>
  <c r="Q25" i="1"/>
  <c r="L25" i="1"/>
  <c r="K25" i="1"/>
  <c r="J25" i="1"/>
  <c r="I25" i="1"/>
  <c r="H25" i="1"/>
  <c r="G25" i="1"/>
  <c r="CD24" i="1"/>
  <c r="BP24" i="1"/>
  <c r="BN24" i="1"/>
  <c r="BH24" i="1"/>
  <c r="BD24" i="1"/>
  <c r="AZ24" i="1"/>
  <c r="AF24" i="1"/>
  <c r="Z24" i="1"/>
  <c r="L24" i="1"/>
  <c r="J24" i="1"/>
  <c r="H24" i="1"/>
  <c r="BQ23" i="1"/>
  <c r="BM23" i="1"/>
  <c r="BL23" i="1"/>
  <c r="BI23" i="1"/>
  <c r="BF23" i="1"/>
  <c r="BJ23" i="1" s="1"/>
  <c r="AX23" i="1"/>
  <c r="AV23" i="1"/>
  <c r="BG23" i="1" s="1"/>
  <c r="AT23" i="1"/>
  <c r="AN23" i="1"/>
  <c r="AL23" i="1"/>
  <c r="AI23" i="1"/>
  <c r="AO23" i="1" s="1"/>
  <c r="AH23" i="1"/>
  <c r="AJ23" i="1" s="1"/>
  <c r="AP23" i="1" s="1"/>
  <c r="AB23" i="1"/>
  <c r="AA23" i="1"/>
  <c r="Y23" i="1"/>
  <c r="X23" i="1"/>
  <c r="U23" i="1"/>
  <c r="T23" i="1"/>
  <c r="S23" i="1"/>
  <c r="P23" i="1"/>
  <c r="N23" i="1"/>
  <c r="O23" i="1" s="1"/>
  <c r="V23" i="1" s="1"/>
  <c r="M23" i="1"/>
  <c r="BQ22" i="1"/>
  <c r="BL22" i="1"/>
  <c r="BF22" i="1"/>
  <c r="BJ22" i="1" s="1"/>
  <c r="BE22" i="1"/>
  <c r="AL22" i="1"/>
  <c r="AJ22" i="1"/>
  <c r="AI22" i="1"/>
  <c r="AO22" i="1" s="1"/>
  <c r="AH22" i="1"/>
  <c r="AB22" i="1"/>
  <c r="AA22" i="1"/>
  <c r="Y22" i="1"/>
  <c r="X22" i="1"/>
  <c r="T22" i="1"/>
  <c r="S22" i="1"/>
  <c r="V22" i="1" s="1"/>
  <c r="O22" i="1"/>
  <c r="N22" i="1"/>
  <c r="P22" i="1" s="1"/>
  <c r="M22" i="1"/>
  <c r="BQ21" i="1"/>
  <c r="BL21" i="1"/>
  <c r="BF21" i="1"/>
  <c r="AT21" i="1"/>
  <c r="AO21" i="1"/>
  <c r="AN21" i="1"/>
  <c r="AL21" i="1"/>
  <c r="AJ21" i="1"/>
  <c r="AI21" i="1"/>
  <c r="AM21" i="1" s="1"/>
  <c r="AB21" i="1"/>
  <c r="AA21" i="1"/>
  <c r="Y21" i="1"/>
  <c r="X21" i="1"/>
  <c r="U21" i="1"/>
  <c r="T21" i="1"/>
  <c r="S21" i="1"/>
  <c r="N21" i="1"/>
  <c r="M21" i="1"/>
  <c r="BQ20" i="1"/>
  <c r="BL20" i="1"/>
  <c r="BJ20" i="1"/>
  <c r="BI20" i="1"/>
  <c r="BH20" i="1"/>
  <c r="AX20" i="1"/>
  <c r="AV20" i="1"/>
  <c r="BV20" i="1" s="1"/>
  <c r="AT20" i="1"/>
  <c r="AY20" i="1" s="1"/>
  <c r="AO20" i="1"/>
  <c r="AN20" i="1"/>
  <c r="AJ20" i="1"/>
  <c r="AI20" i="1"/>
  <c r="AM20" i="1" s="1"/>
  <c r="AA20" i="1"/>
  <c r="X20" i="1"/>
  <c r="Y20" i="1" s="1"/>
  <c r="S20" i="1"/>
  <c r="O20" i="1"/>
  <c r="V20" i="1" s="1"/>
  <c r="M20" i="1"/>
  <c r="N20" i="1" s="1"/>
  <c r="P20" i="1" s="1"/>
  <c r="BQ19" i="1"/>
  <c r="BM19" i="1"/>
  <c r="BL19" i="1"/>
  <c r="BJ19" i="1"/>
  <c r="BF19" i="1"/>
  <c r="BE19" i="1"/>
  <c r="BE18" i="1" s="1"/>
  <c r="BE17" i="1" s="1"/>
  <c r="AY19" i="1"/>
  <c r="AX19" i="1"/>
  <c r="AV19" i="1"/>
  <c r="BI19" i="1" s="1"/>
  <c r="AT19" i="1"/>
  <c r="AO19" i="1"/>
  <c r="AN19" i="1"/>
  <c r="AM19" i="1"/>
  <c r="AL19" i="1"/>
  <c r="AI19" i="1"/>
  <c r="AH19" i="1"/>
  <c r="AH18" i="1" s="1"/>
  <c r="AH17" i="1" s="1"/>
  <c r="AA19" i="1"/>
  <c r="X19" i="1"/>
  <c r="U19" i="1"/>
  <c r="S19" i="1"/>
  <c r="V19" i="1" s="1"/>
  <c r="O19" i="1"/>
  <c r="M19" i="1"/>
  <c r="N19" i="1" s="1"/>
  <c r="CD18" i="1"/>
  <c r="CD17" i="1" s="1"/>
  <c r="BP18" i="1"/>
  <c r="BO18" i="1"/>
  <c r="BO17" i="1" s="1"/>
  <c r="BN18" i="1"/>
  <c r="BK18" i="1"/>
  <c r="BQ18" i="1" s="1"/>
  <c r="BH18" i="1"/>
  <c r="BD18" i="1"/>
  <c r="BC18" i="1"/>
  <c r="BC17" i="1" s="1"/>
  <c r="BB18" i="1"/>
  <c r="BB17" i="1" s="1"/>
  <c r="BA18" i="1"/>
  <c r="AZ18" i="1"/>
  <c r="AU18" i="1"/>
  <c r="AK18" i="1"/>
  <c r="AI18" i="1"/>
  <c r="AO18" i="1" s="1"/>
  <c r="AG18" i="1"/>
  <c r="AG17" i="1" s="1"/>
  <c r="AF18" i="1"/>
  <c r="AF17" i="1" s="1"/>
  <c r="AE18" i="1"/>
  <c r="AD18" i="1"/>
  <c r="AC18" i="1"/>
  <c r="AA18" i="1"/>
  <c r="Z18" i="1"/>
  <c r="S18" i="1"/>
  <c r="U18" i="1" s="1"/>
  <c r="Q18" i="1"/>
  <c r="L18" i="1"/>
  <c r="L17" i="1" s="1"/>
  <c r="K18" i="1"/>
  <c r="J18" i="1"/>
  <c r="I18" i="1"/>
  <c r="I17" i="1" s="1"/>
  <c r="I3" i="1" s="1"/>
  <c r="I2" i="1" s="1"/>
  <c r="H18" i="1"/>
  <c r="G18" i="1"/>
  <c r="BP17" i="1"/>
  <c r="BN17" i="1"/>
  <c r="BK17" i="1"/>
  <c r="BQ17" i="1" s="1"/>
  <c r="BH17" i="1"/>
  <c r="BD17" i="1"/>
  <c r="BA17" i="1"/>
  <c r="AZ17" i="1"/>
  <c r="AU17" i="1"/>
  <c r="AK17" i="1"/>
  <c r="AI17" i="1"/>
  <c r="AO17" i="1" s="1"/>
  <c r="AE17" i="1"/>
  <c r="AD17" i="1"/>
  <c r="AC17" i="1"/>
  <c r="AA17" i="1"/>
  <c r="Z17" i="1"/>
  <c r="S17" i="1"/>
  <c r="U17" i="1" s="1"/>
  <c r="Q17" i="1"/>
  <c r="K17" i="1"/>
  <c r="J17" i="1"/>
  <c r="H17" i="1"/>
  <c r="G17" i="1"/>
  <c r="BQ16" i="1"/>
  <c r="BL16" i="1"/>
  <c r="AY16" i="1"/>
  <c r="AX16" i="1"/>
  <c r="AV16" i="1"/>
  <c r="BV16" i="1" s="1"/>
  <c r="AU16" i="1"/>
  <c r="BJ16" i="1" s="1"/>
  <c r="BJ14" i="1" s="1"/>
  <c r="BJ13" i="1" s="1"/>
  <c r="AO16" i="1"/>
  <c r="AN16" i="1"/>
  <c r="AM16" i="1"/>
  <c r="AJ16" i="1"/>
  <c r="AB16" i="1"/>
  <c r="AB14" i="1" s="1"/>
  <c r="AB13" i="1" s="1"/>
  <c r="AA16" i="1"/>
  <c r="Y16" i="1"/>
  <c r="V16" i="1"/>
  <c r="U16" i="1"/>
  <c r="T16" i="1"/>
  <c r="P16" i="1"/>
  <c r="N16" i="1"/>
  <c r="M16" i="1"/>
  <c r="M14" i="1" s="1"/>
  <c r="M13" i="1" s="1"/>
  <c r="BV15" i="1"/>
  <c r="BR15" i="1"/>
  <c r="BQ15" i="1"/>
  <c r="BM15" i="1"/>
  <c r="BL15" i="1"/>
  <c r="BL14" i="1" s="1"/>
  <c r="BL13" i="1" s="1"/>
  <c r="BJ15" i="1"/>
  <c r="BI15" i="1"/>
  <c r="BG15" i="1"/>
  <c r="BF15" i="1"/>
  <c r="AX15" i="1"/>
  <c r="AX14" i="1" s="1"/>
  <c r="AX13" i="1" s="1"/>
  <c r="AW15" i="1"/>
  <c r="AT15" i="1"/>
  <c r="AO15" i="1"/>
  <c r="AL15" i="1"/>
  <c r="AN15" i="1" s="1"/>
  <c r="AJ15" i="1"/>
  <c r="AI15" i="1"/>
  <c r="AH15" i="1"/>
  <c r="AB15" i="1"/>
  <c r="AA15" i="1"/>
  <c r="Y15" i="1"/>
  <c r="X15" i="1"/>
  <c r="X14" i="1" s="1"/>
  <c r="U15" i="1"/>
  <c r="T15" i="1"/>
  <c r="O15" i="1"/>
  <c r="N15" i="1"/>
  <c r="P15" i="1" s="1"/>
  <c r="P14" i="1" s="1"/>
  <c r="P13" i="1" s="1"/>
  <c r="M15" i="1"/>
  <c r="CD14" i="1"/>
  <c r="BZ14" i="1"/>
  <c r="BY14" i="1"/>
  <c r="BP14" i="1"/>
  <c r="BQ14" i="1" s="1"/>
  <c r="BO14" i="1"/>
  <c r="BN14" i="1"/>
  <c r="BK14" i="1"/>
  <c r="BH14" i="1"/>
  <c r="BV14" i="1" s="1"/>
  <c r="BF14" i="1"/>
  <c r="BF13" i="1" s="1"/>
  <c r="BE14" i="1"/>
  <c r="BD14" i="1"/>
  <c r="BD13" i="1" s="1"/>
  <c r="BC14" i="1"/>
  <c r="BB14" i="1"/>
  <c r="BA14" i="1"/>
  <c r="BA13" i="1" s="1"/>
  <c r="AZ14" i="1"/>
  <c r="AZ13" i="1" s="1"/>
  <c r="AV14" i="1"/>
  <c r="AV13" i="1" s="1"/>
  <c r="AU14" i="1"/>
  <c r="AU13" i="1" s="1"/>
  <c r="AT14" i="1"/>
  <c r="AK14" i="1"/>
  <c r="AJ14" i="1"/>
  <c r="AJ13" i="1" s="1"/>
  <c r="AI14" i="1"/>
  <c r="AH14" i="1"/>
  <c r="AH13" i="1" s="1"/>
  <c r="AG14" i="1"/>
  <c r="AF14" i="1"/>
  <c r="AF13" i="1" s="1"/>
  <c r="AF3" i="1" s="1"/>
  <c r="AF2" i="1" s="1"/>
  <c r="AF321" i="1" s="1"/>
  <c r="AF346" i="1" s="1"/>
  <c r="AF352" i="1" s="1"/>
  <c r="AE14" i="1"/>
  <c r="AD14" i="1"/>
  <c r="AD13" i="1" s="1"/>
  <c r="AD3" i="1" s="1"/>
  <c r="AD2" i="1" s="1"/>
  <c r="AC14" i="1"/>
  <c r="Z14" i="1"/>
  <c r="AO14" i="1" s="1"/>
  <c r="U14" i="1"/>
  <c r="S14" i="1"/>
  <c r="S13" i="1" s="1"/>
  <c r="Q14" i="1"/>
  <c r="L14" i="1"/>
  <c r="L13" i="1" s="1"/>
  <c r="K14" i="1"/>
  <c r="J14" i="1"/>
  <c r="J13" i="1" s="1"/>
  <c r="I14" i="1"/>
  <c r="H14" i="1"/>
  <c r="H13" i="1" s="1"/>
  <c r="H3" i="1" s="1"/>
  <c r="H2" i="1" s="1"/>
  <c r="G14" i="1"/>
  <c r="CD13" i="1"/>
  <c r="CD3" i="1" s="1"/>
  <c r="CD2" i="1" s="1"/>
  <c r="CD321" i="1" s="1"/>
  <c r="CD346" i="1" s="1"/>
  <c r="CD352" i="1" s="1"/>
  <c r="CA13" i="1"/>
  <c r="BO13" i="1"/>
  <c r="BN13" i="1"/>
  <c r="BN3" i="1" s="1"/>
  <c r="BN2" i="1" s="1"/>
  <c r="BN321" i="1" s="1"/>
  <c r="BK13" i="1"/>
  <c r="BH13" i="1"/>
  <c r="BV13" i="1" s="1"/>
  <c r="BE13" i="1"/>
  <c r="BE3" i="1" s="1"/>
  <c r="BC13" i="1"/>
  <c r="BB13" i="1"/>
  <c r="AT13" i="1"/>
  <c r="AK13" i="1"/>
  <c r="AI13" i="1"/>
  <c r="AG13" i="1"/>
  <c r="AE13" i="1"/>
  <c r="AC13" i="1"/>
  <c r="Q13" i="1"/>
  <c r="K13" i="1"/>
  <c r="I13" i="1"/>
  <c r="G13" i="1"/>
  <c r="CA12" i="1"/>
  <c r="BQ12" i="1"/>
  <c r="BL12" i="1"/>
  <c r="BJ12" i="1"/>
  <c r="BF12" i="1"/>
  <c r="AX12" i="1"/>
  <c r="AV12" i="1"/>
  <c r="BG12" i="1" s="1"/>
  <c r="AT12" i="1"/>
  <c r="AY12" i="1" s="1"/>
  <c r="AO12" i="1"/>
  <c r="AN12" i="1"/>
  <c r="AM12" i="1"/>
  <c r="AL12" i="1"/>
  <c r="AJ12" i="1"/>
  <c r="AI12" i="1"/>
  <c r="AA12" i="1"/>
  <c r="Y12" i="1"/>
  <c r="X12" i="1"/>
  <c r="U12" i="1"/>
  <c r="S12" i="1"/>
  <c r="AB12" i="1" s="1"/>
  <c r="N12" i="1"/>
  <c r="P12" i="1" s="1"/>
  <c r="M12" i="1"/>
  <c r="BX11" i="1"/>
  <c r="BV11" i="1"/>
  <c r="BR11" i="1"/>
  <c r="BQ11" i="1"/>
  <c r="BM11" i="1"/>
  <c r="BL11" i="1"/>
  <c r="BJ11" i="1"/>
  <c r="BI11" i="1"/>
  <c r="BG11" i="1"/>
  <c r="BF11" i="1"/>
  <c r="AY11" i="1"/>
  <c r="AW11" i="1"/>
  <c r="AT11" i="1"/>
  <c r="AX11" i="1" s="1"/>
  <c r="AO11" i="1"/>
  <c r="AM11" i="1"/>
  <c r="AL11" i="1"/>
  <c r="AN11" i="1" s="1"/>
  <c r="AI11" i="1"/>
  <c r="AH11" i="1"/>
  <c r="AJ11" i="1" s="1"/>
  <c r="AP11" i="1" s="1"/>
  <c r="Y11" i="1"/>
  <c r="BV10" i="1"/>
  <c r="BR10" i="1"/>
  <c r="BQ10" i="1"/>
  <c r="BM10" i="1"/>
  <c r="BL10" i="1"/>
  <c r="BL8" i="1" s="1"/>
  <c r="BL4" i="1" s="1"/>
  <c r="BI10" i="1"/>
  <c r="BG10" i="1"/>
  <c r="BF10" i="1"/>
  <c r="BJ10" i="1" s="1"/>
  <c r="AY10" i="1"/>
  <c r="AX10" i="1"/>
  <c r="AW10" i="1"/>
  <c r="AT10" i="1"/>
  <c r="AN10" i="1"/>
  <c r="AM10" i="1"/>
  <c r="AL10" i="1"/>
  <c r="AJ10" i="1"/>
  <c r="AP10" i="1" s="1"/>
  <c r="AI10" i="1"/>
  <c r="AO10" i="1" s="1"/>
  <c r="AH10" i="1"/>
  <c r="AH8" i="1" s="1"/>
  <c r="AH4" i="1" s="1"/>
  <c r="AH3" i="1" s="1"/>
  <c r="AA10" i="1"/>
  <c r="X10" i="1"/>
  <c r="X8" i="1" s="1"/>
  <c r="S10" i="1"/>
  <c r="V10" i="1" s="1"/>
  <c r="O10" i="1"/>
  <c r="N10" i="1"/>
  <c r="P10" i="1" s="1"/>
  <c r="M10" i="1"/>
  <c r="BV9" i="1"/>
  <c r="BR9" i="1"/>
  <c r="BQ9" i="1"/>
  <c r="BM9" i="1"/>
  <c r="BL9" i="1"/>
  <c r="BJ9" i="1"/>
  <c r="BJ8" i="1" s="1"/>
  <c r="BJ4" i="1" s="1"/>
  <c r="BI9" i="1"/>
  <c r="BG9" i="1"/>
  <c r="BF9" i="1"/>
  <c r="AY9" i="1"/>
  <c r="AY8" i="1" s="1"/>
  <c r="AX9" i="1"/>
  <c r="AX8" i="1" s="1"/>
  <c r="AW9" i="1"/>
  <c r="AT9" i="1"/>
  <c r="AP9" i="1"/>
  <c r="AN9" i="1"/>
  <c r="AL9" i="1"/>
  <c r="AL8" i="1" s="1"/>
  <c r="AJ9" i="1"/>
  <c r="AI9" i="1"/>
  <c r="AM9" i="1" s="1"/>
  <c r="AH9" i="1"/>
  <c r="AB9" i="1"/>
  <c r="AA9" i="1"/>
  <c r="AA8" i="1" s="1"/>
  <c r="X9" i="1"/>
  <c r="Y9" i="1" s="1"/>
  <c r="V9" i="1"/>
  <c r="U9" i="1"/>
  <c r="T9" i="1"/>
  <c r="O9" i="1"/>
  <c r="M9" i="1"/>
  <c r="N9" i="1" s="1"/>
  <c r="CD8" i="1"/>
  <c r="BP8" i="1"/>
  <c r="BP4" i="1" s="1"/>
  <c r="BO8" i="1"/>
  <c r="BO4" i="1" s="1"/>
  <c r="BN8" i="1"/>
  <c r="BK8" i="1"/>
  <c r="BI8" i="1"/>
  <c r="BI4" i="1" s="1"/>
  <c r="BH8" i="1"/>
  <c r="BG8" i="1"/>
  <c r="BF8" i="1"/>
  <c r="BE8" i="1"/>
  <c r="BD8" i="1"/>
  <c r="BD4" i="1" s="1"/>
  <c r="BC8" i="1"/>
  <c r="BC4" i="1" s="1"/>
  <c r="BC3" i="1" s="1"/>
  <c r="BC2" i="1" s="1"/>
  <c r="BB8" i="1"/>
  <c r="BA8" i="1"/>
  <c r="BA4" i="1" s="1"/>
  <c r="AZ8" i="1"/>
  <c r="AU8" i="1"/>
  <c r="AU4" i="1" s="1"/>
  <c r="AU3" i="1" s="1"/>
  <c r="AT8" i="1"/>
  <c r="AK8" i="1"/>
  <c r="AK4" i="1" s="1"/>
  <c r="AK3" i="1" s="1"/>
  <c r="AK2" i="1" s="1"/>
  <c r="AG8" i="1"/>
  <c r="AG4" i="1" s="1"/>
  <c r="AG3" i="1" s="1"/>
  <c r="AG2" i="1" s="1"/>
  <c r="AG321" i="1" s="1"/>
  <c r="AG346" i="1" s="1"/>
  <c r="AG352" i="1" s="1"/>
  <c r="AF8" i="1"/>
  <c r="AE8" i="1"/>
  <c r="AE4" i="1" s="1"/>
  <c r="AE3" i="1" s="1"/>
  <c r="AE2" i="1" s="1"/>
  <c r="AD8" i="1"/>
  <c r="AC8" i="1"/>
  <c r="Z8" i="1"/>
  <c r="Q8" i="1"/>
  <c r="Q4" i="1" s="1"/>
  <c r="L8" i="1"/>
  <c r="K8" i="1"/>
  <c r="K4" i="1" s="1"/>
  <c r="K3" i="1" s="1"/>
  <c r="J8" i="1"/>
  <c r="I8" i="1"/>
  <c r="H8" i="1"/>
  <c r="G8" i="1"/>
  <c r="G4" i="1" s="1"/>
  <c r="G3" i="1" s="1"/>
  <c r="G2" i="1" s="1"/>
  <c r="BV7" i="1"/>
  <c r="BR7" i="1"/>
  <c r="BQ7" i="1"/>
  <c r="BL7" i="1"/>
  <c r="BK7" i="1"/>
  <c r="BM7" i="1" s="1"/>
  <c r="BI7" i="1"/>
  <c r="BG7" i="1"/>
  <c r="BF7" i="1"/>
  <c r="BJ7" i="1" s="1"/>
  <c r="AW7" i="1"/>
  <c r="AT7" i="1"/>
  <c r="AY7" i="1" s="1"/>
  <c r="AN7" i="1"/>
  <c r="AL7" i="1"/>
  <c r="AJ7" i="1"/>
  <c r="AJ5" i="1" s="1"/>
  <c r="AI7" i="1"/>
  <c r="AO7" i="1" s="1"/>
  <c r="AH7" i="1"/>
  <c r="AB7" i="1"/>
  <c r="AA7" i="1"/>
  <c r="X7" i="1"/>
  <c r="Y7" i="1" s="1"/>
  <c r="V7" i="1"/>
  <c r="U7" i="1"/>
  <c r="T7" i="1"/>
  <c r="O7" i="1"/>
  <c r="N7" i="1"/>
  <c r="P7" i="1" s="1"/>
  <c r="M7" i="1"/>
  <c r="BV6" i="1"/>
  <c r="BR6" i="1"/>
  <c r="BQ6" i="1"/>
  <c r="BL6" i="1"/>
  <c r="BK6" i="1"/>
  <c r="BM6" i="1" s="1"/>
  <c r="BM5" i="1" s="1"/>
  <c r="BJ6" i="1"/>
  <c r="BI6" i="1"/>
  <c r="BG6" i="1"/>
  <c r="BG5" i="1" s="1"/>
  <c r="BG4" i="1" s="1"/>
  <c r="BF6" i="1"/>
  <c r="AY6" i="1"/>
  <c r="AY5" i="1" s="1"/>
  <c r="AY4" i="1" s="1"/>
  <c r="AX6" i="1"/>
  <c r="AW6" i="1"/>
  <c r="AT6" i="1"/>
  <c r="AP6" i="1"/>
  <c r="AN6" i="1"/>
  <c r="AM6" i="1"/>
  <c r="AL6" i="1"/>
  <c r="AJ6" i="1"/>
  <c r="AI6" i="1"/>
  <c r="AO6" i="1" s="1"/>
  <c r="AB6" i="1"/>
  <c r="AA6" i="1"/>
  <c r="AA5" i="1" s="1"/>
  <c r="AA4" i="1" s="1"/>
  <c r="Y6" i="1"/>
  <c r="X6" i="1"/>
  <c r="U6" i="1"/>
  <c r="T6" i="1"/>
  <c r="O6" i="1"/>
  <c r="O5" i="1" s="1"/>
  <c r="M6" i="1"/>
  <c r="M5" i="1" s="1"/>
  <c r="CD5" i="1"/>
  <c r="BR5" i="1"/>
  <c r="BP5" i="1"/>
  <c r="BO5" i="1"/>
  <c r="BN5" i="1"/>
  <c r="BL5" i="1"/>
  <c r="BK5" i="1"/>
  <c r="BQ5" i="1" s="1"/>
  <c r="BJ5" i="1"/>
  <c r="BI5" i="1"/>
  <c r="BH5" i="1"/>
  <c r="BV5" i="1" s="1"/>
  <c r="BF5" i="1"/>
  <c r="BE5" i="1"/>
  <c r="BD5" i="1"/>
  <c r="BC5" i="1"/>
  <c r="BB5" i="1"/>
  <c r="BA5" i="1"/>
  <c r="AZ5" i="1"/>
  <c r="AW5" i="1"/>
  <c r="AV5" i="1"/>
  <c r="AU5" i="1"/>
  <c r="AT5" i="1"/>
  <c r="AL5" i="1"/>
  <c r="AN5" i="1" s="1"/>
  <c r="AK5" i="1"/>
  <c r="AI5" i="1"/>
  <c r="AO5" i="1" s="1"/>
  <c r="AH5" i="1"/>
  <c r="AG5" i="1"/>
  <c r="AF5" i="1"/>
  <c r="AE5" i="1"/>
  <c r="AD5" i="1"/>
  <c r="AC5" i="1"/>
  <c r="AB5" i="1"/>
  <c r="Z5" i="1"/>
  <c r="X5" i="1"/>
  <c r="Y5" i="1" s="1"/>
  <c r="S5" i="1"/>
  <c r="U5" i="1" s="1"/>
  <c r="Q5" i="1"/>
  <c r="L5" i="1"/>
  <c r="K5" i="1"/>
  <c r="J5" i="1"/>
  <c r="I5" i="1"/>
  <c r="T5" i="1" s="1"/>
  <c r="H5" i="1"/>
  <c r="G5" i="1"/>
  <c r="CD4" i="1"/>
  <c r="BN4" i="1"/>
  <c r="BK4" i="1"/>
  <c r="BH4" i="1"/>
  <c r="BF4" i="1"/>
  <c r="BE4" i="1"/>
  <c r="BB4" i="1"/>
  <c r="AZ4" i="1"/>
  <c r="AT4" i="1"/>
  <c r="AF4" i="1"/>
  <c r="AD4" i="1"/>
  <c r="AC4" i="1"/>
  <c r="Z4" i="1"/>
  <c r="L4" i="1"/>
  <c r="J4" i="1"/>
  <c r="I4" i="1"/>
  <c r="H4" i="1"/>
  <c r="AZ3" i="1"/>
  <c r="AC3" i="1"/>
  <c r="AC2" i="1" s="1"/>
  <c r="AC321" i="1" s="1"/>
  <c r="AC346" i="1" s="1"/>
  <c r="AC352" i="1" s="1"/>
  <c r="J3" i="1"/>
  <c r="AZ2" i="1"/>
  <c r="BB3" i="1" l="1"/>
  <c r="BB2" i="1" s="1"/>
  <c r="AX5" i="1"/>
  <c r="AX4" i="1" s="1"/>
  <c r="V5" i="1"/>
  <c r="X4" i="1"/>
  <c r="L3" i="1"/>
  <c r="L2" i="1" s="1"/>
  <c r="AA3" i="1"/>
  <c r="AA2" i="1" s="1"/>
  <c r="X13" i="1"/>
  <c r="Y13" i="1" s="1"/>
  <c r="Y14" i="1"/>
  <c r="BO3" i="1"/>
  <c r="BO2" i="1" s="1"/>
  <c r="AH2" i="1"/>
  <c r="U13" i="1"/>
  <c r="T13" i="1"/>
  <c r="BG14" i="1"/>
  <c r="BG13" i="1" s="1"/>
  <c r="BA3" i="1"/>
  <c r="BA2" i="1" s="1"/>
  <c r="BA321" i="1" s="1"/>
  <c r="BA346" i="1" s="1"/>
  <c r="BA352" i="1" s="1"/>
  <c r="BQ4" i="1"/>
  <c r="Q3" i="1"/>
  <c r="AL4" i="1"/>
  <c r="AN8" i="1"/>
  <c r="AM8" i="1"/>
  <c r="P9" i="1"/>
  <c r="P8" i="1" s="1"/>
  <c r="N8" i="1"/>
  <c r="BD3" i="1"/>
  <c r="BD2" i="1" s="1"/>
  <c r="N24" i="1"/>
  <c r="AP28" i="1"/>
  <c r="AJ25" i="1"/>
  <c r="AJ24" i="1" s="1"/>
  <c r="M4" i="1"/>
  <c r="M3" i="1" s="1"/>
  <c r="M2" i="1" s="1"/>
  <c r="AO9" i="1"/>
  <c r="Y10" i="1"/>
  <c r="O12" i="1"/>
  <c r="V12" i="1" s="1"/>
  <c r="BM12" i="1"/>
  <c r="BM8" i="1" s="1"/>
  <c r="BM4" i="1" s="1"/>
  <c r="V15" i="1"/>
  <c r="O14" i="1"/>
  <c r="O13" i="1" s="1"/>
  <c r="V13" i="1" s="1"/>
  <c r="AM15" i="1"/>
  <c r="T17" i="1"/>
  <c r="BG19" i="1"/>
  <c r="AM26" i="1"/>
  <c r="AA25" i="1"/>
  <c r="AA24" i="1" s="1"/>
  <c r="O33" i="1"/>
  <c r="BJ35" i="1"/>
  <c r="BJ34" i="1" s="1"/>
  <c r="P59" i="1"/>
  <c r="AW64" i="1"/>
  <c r="BG64" i="1"/>
  <c r="BV64" i="1"/>
  <c r="BR64" i="1"/>
  <c r="BM64" i="1"/>
  <c r="BI64" i="1"/>
  <c r="M24" i="1"/>
  <c r="BG33" i="1"/>
  <c r="BV33" i="1"/>
  <c r="AW33" i="1"/>
  <c r="BH3" i="1"/>
  <c r="AM7" i="1"/>
  <c r="M8" i="1"/>
  <c r="BP13" i="1"/>
  <c r="BP3" i="1" s="1"/>
  <c r="N14" i="1"/>
  <c r="N13" i="1" s="1"/>
  <c r="BR16" i="1"/>
  <c r="AJ19" i="1"/>
  <c r="AJ18" i="1" s="1"/>
  <c r="AJ17" i="1" s="1"/>
  <c r="BJ18" i="1"/>
  <c r="BJ17" i="1" s="1"/>
  <c r="AJ31" i="1"/>
  <c r="AJ30" i="1" s="1"/>
  <c r="AB33" i="1"/>
  <c r="AB30" i="1" s="1"/>
  <c r="V33" i="1"/>
  <c r="U33" i="1"/>
  <c r="T33" i="1"/>
  <c r="AU49" i="1"/>
  <c r="BV51" i="1"/>
  <c r="BR51" i="1"/>
  <c r="BM51" i="1"/>
  <c r="BI51" i="1"/>
  <c r="BG51" i="1"/>
  <c r="BG50" i="1" s="1"/>
  <c r="BG49" i="1" s="1"/>
  <c r="AW51" i="1"/>
  <c r="AV50" i="1"/>
  <c r="AV49" i="1" s="1"/>
  <c r="AY60" i="1"/>
  <c r="AB10" i="1"/>
  <c r="AB8" i="1" s="1"/>
  <c r="AB4" i="1" s="1"/>
  <c r="BR12" i="1"/>
  <c r="BL18" i="1"/>
  <c r="BL17" i="1" s="1"/>
  <c r="BF25" i="1"/>
  <c r="BG27" i="1"/>
  <c r="AW32" i="1"/>
  <c r="BV32" i="1"/>
  <c r="BI32" i="1"/>
  <c r="Y33" i="1"/>
  <c r="BI33" i="1"/>
  <c r="P58" i="1"/>
  <c r="P57" i="1" s="1"/>
  <c r="N57" i="1"/>
  <c r="U60" i="1"/>
  <c r="T60" i="1"/>
  <c r="N6" i="1"/>
  <c r="BQ8" i="1"/>
  <c r="T12" i="1"/>
  <c r="BV12" i="1"/>
  <c r="AW14" i="1"/>
  <c r="AW13" i="1" s="1"/>
  <c r="M18" i="1"/>
  <c r="M17" i="1" s="1"/>
  <c r="P19" i="1"/>
  <c r="N18" i="1"/>
  <c r="N17" i="1" s="1"/>
  <c r="BQ33" i="1"/>
  <c r="BM33" i="1"/>
  <c r="BM30" i="1" s="1"/>
  <c r="BL33" i="1"/>
  <c r="T39" i="1"/>
  <c r="AA39" i="1"/>
  <c r="V51" i="1"/>
  <c r="O50" i="1"/>
  <c r="O49" i="1" s="1"/>
  <c r="AM66" i="1"/>
  <c r="AY66" i="1"/>
  <c r="AN66" i="1"/>
  <c r="AP7" i="1"/>
  <c r="AP2" i="1" s="1"/>
  <c r="V14" i="1"/>
  <c r="T14" i="1"/>
  <c r="AM23" i="1"/>
  <c r="AY23" i="1"/>
  <c r="AL24" i="1"/>
  <c r="BG26" i="1"/>
  <c r="BV26" i="1"/>
  <c r="AW26" i="1"/>
  <c r="AX29" i="1"/>
  <c r="AV29" i="1"/>
  <c r="BR33" i="1"/>
  <c r="T36" i="1"/>
  <c r="AB36" i="1"/>
  <c r="AB35" i="1" s="1"/>
  <c r="AB34" i="1" s="1"/>
  <c r="S35" i="1"/>
  <c r="V36" i="1"/>
  <c r="BR14" i="1"/>
  <c r="AY15" i="1"/>
  <c r="AY14" i="1" s="1"/>
  <c r="AY13" i="1" s="1"/>
  <c r="AW16" i="1"/>
  <c r="BM16" i="1"/>
  <c r="BM14" i="1" s="1"/>
  <c r="BM13" i="1" s="1"/>
  <c r="P21" i="1"/>
  <c r="O21" i="1"/>
  <c r="V21" i="1" s="1"/>
  <c r="AM22" i="1"/>
  <c r="AT22" i="1"/>
  <c r="X25" i="1"/>
  <c r="N30" i="1"/>
  <c r="P31" i="1"/>
  <c r="P30" i="1" s="1"/>
  <c r="P24" i="1" s="1"/>
  <c r="AL35" i="1"/>
  <c r="AM36" i="1"/>
  <c r="AY36" i="1"/>
  <c r="AY35" i="1" s="1"/>
  <c r="AY34" i="1" s="1"/>
  <c r="S8" i="1"/>
  <c r="AV8" i="1"/>
  <c r="AW12" i="1"/>
  <c r="AW8" i="1" s="1"/>
  <c r="AW4" i="1" s="1"/>
  <c r="Z13" i="1"/>
  <c r="AA14" i="1"/>
  <c r="AA13" i="1" s="1"/>
  <c r="T18" i="1"/>
  <c r="AL18" i="1"/>
  <c r="T19" i="1"/>
  <c r="AN22" i="1"/>
  <c r="BI26" i="1"/>
  <c r="AY29" i="1"/>
  <c r="AY25" i="1" s="1"/>
  <c r="AY24" i="1" s="1"/>
  <c r="M30" i="1"/>
  <c r="O31" i="1"/>
  <c r="BG31" i="1"/>
  <c r="AV30" i="1"/>
  <c r="BV30" i="1" s="1"/>
  <c r="BV31" i="1"/>
  <c r="AW31" i="1"/>
  <c r="BK34" i="1"/>
  <c r="BQ34" i="1" s="1"/>
  <c r="AN36" i="1"/>
  <c r="AN52" i="1"/>
  <c r="AL50" i="1"/>
  <c r="AY52" i="1"/>
  <c r="AY50" i="1" s="1"/>
  <c r="AY49" i="1" s="1"/>
  <c r="AM52" i="1"/>
  <c r="BI27" i="1"/>
  <c r="AW27" i="1"/>
  <c r="BV27" i="1"/>
  <c r="BR27" i="1"/>
  <c r="AX7" i="1"/>
  <c r="AL14" i="1"/>
  <c r="BR20" i="1"/>
  <c r="BM20" i="1"/>
  <c r="BG20" i="1"/>
  <c r="AY21" i="1"/>
  <c r="BQ26" i="1"/>
  <c r="BL26" i="1"/>
  <c r="BK25" i="1"/>
  <c r="BK24" i="1" s="1"/>
  <c r="BG29" i="1"/>
  <c r="N52" i="1"/>
  <c r="P52" i="1" s="1"/>
  <c r="P50" i="1" s="1"/>
  <c r="P49" i="1" s="1"/>
  <c r="P48" i="1" s="1"/>
  <c r="M50" i="1"/>
  <c r="M49" i="1" s="1"/>
  <c r="M48" i="1" s="1"/>
  <c r="M88" i="1"/>
  <c r="M87" i="1" s="1"/>
  <c r="AM5" i="1"/>
  <c r="V6" i="1"/>
  <c r="T10" i="1"/>
  <c r="BG16" i="1"/>
  <c r="X18" i="1"/>
  <c r="T20" i="1"/>
  <c r="AB20" i="1"/>
  <c r="AW20" i="1"/>
  <c r="AV21" i="1"/>
  <c r="BQ25" i="1"/>
  <c r="BM26" i="1"/>
  <c r="O28" i="1"/>
  <c r="O25" i="1" s="1"/>
  <c r="AX28" i="1"/>
  <c r="AV28" i="1"/>
  <c r="BJ29" i="1"/>
  <c r="BJ25" i="1" s="1"/>
  <c r="BJ24" i="1" s="1"/>
  <c r="BI29" i="1"/>
  <c r="AM30" i="1"/>
  <c r="BF30" i="1"/>
  <c r="BJ31" i="1"/>
  <c r="BJ30" i="1" s="1"/>
  <c r="BM32" i="1"/>
  <c r="AI35" i="1"/>
  <c r="J48" i="1"/>
  <c r="J2" i="1" s="1"/>
  <c r="J321" i="1" s="1"/>
  <c r="J346" i="1" s="1"/>
  <c r="J352" i="1" s="1"/>
  <c r="AH49" i="1"/>
  <c r="AH48" i="1" s="1"/>
  <c r="AI8" i="1"/>
  <c r="U10" i="1"/>
  <c r="BI12" i="1"/>
  <c r="BI16" i="1"/>
  <c r="BI14" i="1" s="1"/>
  <c r="BI13" i="1" s="1"/>
  <c r="U20" i="1"/>
  <c r="AX21" i="1"/>
  <c r="BR26" i="1"/>
  <c r="V28" i="1"/>
  <c r="T28" i="1"/>
  <c r="AB28" i="1"/>
  <c r="AB25" i="1" s="1"/>
  <c r="S25" i="1"/>
  <c r="AY28" i="1"/>
  <c r="BQ29" i="1"/>
  <c r="BL29" i="1"/>
  <c r="Y31" i="1"/>
  <c r="X30" i="1"/>
  <c r="BI31" i="1"/>
  <c r="BI30" i="1" s="1"/>
  <c r="P36" i="1"/>
  <c r="P35" i="1" s="1"/>
  <c r="P34" i="1" s="1"/>
  <c r="N35" i="1"/>
  <c r="N34" i="1" s="1"/>
  <c r="AJ49" i="1"/>
  <c r="M60" i="1"/>
  <c r="M59" i="1" s="1"/>
  <c r="AJ8" i="1"/>
  <c r="AJ4" i="1" s="1"/>
  <c r="AJ3" i="1" s="1"/>
  <c r="AB19" i="1"/>
  <c r="BF18" i="1"/>
  <c r="BF17" i="1" s="1"/>
  <c r="BJ21" i="1"/>
  <c r="AO26" i="1"/>
  <c r="AI25" i="1"/>
  <c r="BI28" i="1"/>
  <c r="BL30" i="1"/>
  <c r="BH49" i="1"/>
  <c r="BV50" i="1"/>
  <c r="BQ89" i="1"/>
  <c r="U22" i="1"/>
  <c r="BR23" i="1"/>
  <c r="AN33" i="1"/>
  <c r="BV36" i="1"/>
  <c r="N50" i="1"/>
  <c r="N49" i="1" s="1"/>
  <c r="BK50" i="1"/>
  <c r="BK49" i="1" s="1"/>
  <c r="BV52" i="1"/>
  <c r="BV58" i="1"/>
  <c r="AL60" i="1"/>
  <c r="BE59" i="1"/>
  <c r="BE48" i="1" s="1"/>
  <c r="BE2" i="1" s="1"/>
  <c r="N60" i="1"/>
  <c r="AY63" i="1"/>
  <c r="AV63" i="1"/>
  <c r="BR65" i="1"/>
  <c r="BM65" i="1"/>
  <c r="AM68" i="1"/>
  <c r="X79" i="1"/>
  <c r="V95" i="1"/>
  <c r="U95" i="1"/>
  <c r="T95" i="1"/>
  <c r="Z95" i="1"/>
  <c r="Y95" i="1"/>
  <c r="BR19" i="1"/>
  <c r="BV23" i="1"/>
  <c r="AX26" i="1"/>
  <c r="BG53" i="1"/>
  <c r="BR53" i="1"/>
  <c r="BI56" i="1"/>
  <c r="BF60" i="1"/>
  <c r="BG61" i="1"/>
  <c r="AW61" i="1"/>
  <c r="V63" i="1"/>
  <c r="T63" i="1"/>
  <c r="AO68" i="1"/>
  <c r="BM70" i="1"/>
  <c r="BG70" i="1"/>
  <c r="AW70" i="1"/>
  <c r="BV70" i="1"/>
  <c r="BR70" i="1"/>
  <c r="AW74" i="1"/>
  <c r="BR74" i="1"/>
  <c r="BM74" i="1"/>
  <c r="BI74" i="1"/>
  <c r="BG74" i="1"/>
  <c r="BO86" i="1"/>
  <c r="T97" i="1"/>
  <c r="U97" i="1"/>
  <c r="Y19" i="1"/>
  <c r="AW19" i="1"/>
  <c r="BV19" i="1"/>
  <c r="AW23" i="1"/>
  <c r="T31" i="1"/>
  <c r="Y36" i="1"/>
  <c r="AW36" i="1"/>
  <c r="AW35" i="1" s="1"/>
  <c r="AW34" i="1" s="1"/>
  <c r="Q49" i="1"/>
  <c r="Q48" i="1" s="1"/>
  <c r="BR52" i="1"/>
  <c r="AW52" i="1"/>
  <c r="AW53" i="1"/>
  <c r="X60" i="1"/>
  <c r="BH60" i="1"/>
  <c r="AX60" i="1"/>
  <c r="P67" i="1"/>
  <c r="AV68" i="1"/>
  <c r="AT94" i="1"/>
  <c r="AY68" i="1"/>
  <c r="AX69" i="1"/>
  <c r="AT95" i="1"/>
  <c r="BJ71" i="1"/>
  <c r="AJ79" i="1"/>
  <c r="AJ59" i="1" s="1"/>
  <c r="BI85" i="1"/>
  <c r="BV63" i="1"/>
  <c r="BK63" i="1"/>
  <c r="BR69" i="1"/>
  <c r="AW69" i="1"/>
  <c r="BI69" i="1"/>
  <c r="BG69" i="1"/>
  <c r="AT73" i="1"/>
  <c r="AN73" i="1"/>
  <c r="AM73" i="1"/>
  <c r="BG82" i="1"/>
  <c r="BI82" i="1"/>
  <c r="AW82" i="1"/>
  <c r="U50" i="1"/>
  <c r="Y51" i="1"/>
  <c r="BM56" i="1"/>
  <c r="U57" i="1"/>
  <c r="Y68" i="1"/>
  <c r="T68" i="1"/>
  <c r="AB68" i="1"/>
  <c r="AB67" i="1" s="1"/>
  <c r="AB59" i="1" s="1"/>
  <c r="S67" i="1"/>
  <c r="S59" i="1" s="1"/>
  <c r="AO81" i="1"/>
  <c r="AI79" i="1"/>
  <c r="AO79" i="1" s="1"/>
  <c r="K87" i="1"/>
  <c r="K86" i="1" s="1"/>
  <c r="BR93" i="1"/>
  <c r="AW93" i="1"/>
  <c r="BF93" i="1"/>
  <c r="BM93" i="1"/>
  <c r="BG98" i="1"/>
  <c r="AW98" i="1"/>
  <c r="BM98" i="1"/>
  <c r="BV98" i="1"/>
  <c r="BR98" i="1"/>
  <c r="BI98" i="1"/>
  <c r="V50" i="1"/>
  <c r="BR50" i="1"/>
  <c r="AA50" i="1"/>
  <c r="AA49" i="1" s="1"/>
  <c r="AA48" i="1" s="1"/>
  <c r="BF50" i="1"/>
  <c r="BF49" i="1" s="1"/>
  <c r="BI52" i="1"/>
  <c r="V57" i="1"/>
  <c r="BJ60" i="1"/>
  <c r="BI63" i="1"/>
  <c r="BI60" i="1" s="1"/>
  <c r="Y69" i="1"/>
  <c r="X67" i="1"/>
  <c r="Y67" i="1" s="1"/>
  <c r="AT72" i="1"/>
  <c r="AN72" i="1"/>
  <c r="AM72" i="1"/>
  <c r="V80" i="1"/>
  <c r="O79" i="1"/>
  <c r="BJ97" i="1"/>
  <c r="AT30" i="1"/>
  <c r="AT24" i="1" s="1"/>
  <c r="BG52" i="1"/>
  <c r="BP57" i="1"/>
  <c r="BP49" i="1" s="1"/>
  <c r="BJ63" i="1"/>
  <c r="V68" i="1"/>
  <c r="BV69" i="1"/>
  <c r="BG77" i="1"/>
  <c r="BM77" i="1"/>
  <c r="AW77" i="1"/>
  <c r="BR77" i="1"/>
  <c r="AZ86" i="1"/>
  <c r="AZ321" i="1" s="1"/>
  <c r="AZ346" i="1" s="1"/>
  <c r="AZ352" i="1" s="1"/>
  <c r="BR101" i="1"/>
  <c r="BM101" i="1"/>
  <c r="BG101" i="1"/>
  <c r="AW101" i="1"/>
  <c r="BV101" i="1"/>
  <c r="BI101" i="1"/>
  <c r="S49" i="1"/>
  <c r="BH73" i="1"/>
  <c r="BJ73" i="1"/>
  <c r="BG81" i="1"/>
  <c r="BR81" i="1"/>
  <c r="AW81" i="1"/>
  <c r="AW79" i="1" s="1"/>
  <c r="AV79" i="1"/>
  <c r="BR79" i="1" s="1"/>
  <c r="BM81" i="1"/>
  <c r="BQ82" i="1"/>
  <c r="BL82" i="1"/>
  <c r="BM82" i="1"/>
  <c r="BK79" i="1"/>
  <c r="BQ79" i="1" s="1"/>
  <c r="Q89" i="1"/>
  <c r="Q88" i="1" s="1"/>
  <c r="Q87" i="1" s="1"/>
  <c r="S93" i="1"/>
  <c r="S30" i="1"/>
  <c r="BJ52" i="1"/>
  <c r="BJ50" i="1" s="1"/>
  <c r="BJ49" i="1" s="1"/>
  <c r="BM53" i="1"/>
  <c r="AN57" i="1"/>
  <c r="O60" i="1"/>
  <c r="O59" i="1" s="1"/>
  <c r="BP60" i="1"/>
  <c r="BR62" i="1"/>
  <c r="BV65" i="1"/>
  <c r="BI66" i="1"/>
  <c r="BL68" i="1"/>
  <c r="BL69" i="1"/>
  <c r="V72" i="1"/>
  <c r="BJ77" i="1"/>
  <c r="BI77" i="1"/>
  <c r="BR82" i="1"/>
  <c r="AB49" i="1"/>
  <c r="BM69" i="1"/>
  <c r="AT71" i="1"/>
  <c r="AM71" i="1"/>
  <c r="AN84" i="1"/>
  <c r="AM84" i="1"/>
  <c r="K49" i="1"/>
  <c r="K48" i="1" s="1"/>
  <c r="K2" i="1" s="1"/>
  <c r="K321" i="1" s="1"/>
  <c r="K346" i="1" s="1"/>
  <c r="K352" i="1" s="1"/>
  <c r="BM52" i="1"/>
  <c r="BG56" i="1"/>
  <c r="AW56" i="1"/>
  <c r="BR56" i="1"/>
  <c r="AM63" i="1"/>
  <c r="BJ64" i="1"/>
  <c r="AU60" i="1"/>
  <c r="AU59" i="1" s="1"/>
  <c r="AO65" i="1"/>
  <c r="BV68" i="1"/>
  <c r="AN71" i="1"/>
  <c r="BJ72" i="1"/>
  <c r="BF81" i="1"/>
  <c r="BR85" i="1"/>
  <c r="BM85" i="1"/>
  <c r="BG85" i="1"/>
  <c r="AW85" i="1"/>
  <c r="BE87" i="1"/>
  <c r="V81" i="1"/>
  <c r="U81" i="1"/>
  <c r="S79" i="1"/>
  <c r="AI89" i="1"/>
  <c r="AX98" i="1"/>
  <c r="BM100" i="1"/>
  <c r="BG100" i="1"/>
  <c r="AW100" i="1"/>
  <c r="P103" i="1"/>
  <c r="O103" i="1"/>
  <c r="V103" i="1" s="1"/>
  <c r="N104" i="1"/>
  <c r="P105" i="1"/>
  <c r="O105" i="1"/>
  <c r="BF111" i="1"/>
  <c r="AW111" i="1"/>
  <c r="BM111" i="1"/>
  <c r="BR111" i="1"/>
  <c r="BG111" i="1"/>
  <c r="BR66" i="1"/>
  <c r="AX76" i="1"/>
  <c r="AV76" i="1"/>
  <c r="AB79" i="1"/>
  <c r="BD88" i="1"/>
  <c r="BL94" i="1"/>
  <c r="BL95" i="1"/>
  <c r="BG99" i="1"/>
  <c r="BF104" i="1"/>
  <c r="BJ123" i="1"/>
  <c r="BH123" i="1"/>
  <c r="BF124" i="1"/>
  <c r="BF122" i="1" s="1"/>
  <c r="BI123" i="1"/>
  <c r="AO180" i="1"/>
  <c r="AY90" i="1"/>
  <c r="AX90" i="1"/>
  <c r="AT89" i="1"/>
  <c r="AE98" i="1"/>
  <c r="AE97" i="1" s="1"/>
  <c r="AE88" i="1" s="1"/>
  <c r="AA97" i="1"/>
  <c r="BL100" i="1"/>
  <c r="BL97" i="1" s="1"/>
  <c r="BV100" i="1"/>
  <c r="Y103" i="1"/>
  <c r="T103" i="1"/>
  <c r="AB103" i="1"/>
  <c r="AD103" i="1" s="1"/>
  <c r="BJ127" i="1"/>
  <c r="BJ125" i="1" s="1"/>
  <c r="BI127" i="1"/>
  <c r="BI125" i="1" s="1"/>
  <c r="BH127" i="1"/>
  <c r="BF125" i="1"/>
  <c r="BI75" i="1"/>
  <c r="V76" i="1"/>
  <c r="AY76" i="1"/>
  <c r="AM78" i="1"/>
  <c r="T90" i="1"/>
  <c r="AB90" i="1"/>
  <c r="S89" i="1"/>
  <c r="AV90" i="1"/>
  <c r="AN91" i="1"/>
  <c r="N92" i="1"/>
  <c r="BQ97" i="1"/>
  <c r="AD99" i="1"/>
  <c r="BJ100" i="1"/>
  <c r="AT102" i="1"/>
  <c r="AM102" i="1"/>
  <c r="AL97" i="1"/>
  <c r="U103" i="1"/>
  <c r="P107" i="1"/>
  <c r="O107" i="1"/>
  <c r="V107" i="1" s="1"/>
  <c r="N79" i="1"/>
  <c r="BJ90" i="1"/>
  <c r="BF89" i="1"/>
  <c r="BI91" i="1"/>
  <c r="BG91" i="1"/>
  <c r="AM93" i="1"/>
  <c r="AO95" i="1"/>
  <c r="AJ97" i="1"/>
  <c r="AL67" i="1"/>
  <c r="V77" i="1"/>
  <c r="AT78" i="1"/>
  <c r="P80" i="1"/>
  <c r="P79" i="1" s="1"/>
  <c r="X89" i="1"/>
  <c r="Y90" i="1"/>
  <c r="AX91" i="1"/>
  <c r="AV92" i="1"/>
  <c r="AN94" i="1"/>
  <c r="AM94" i="1"/>
  <c r="AN95" i="1"/>
  <c r="AM95" i="1"/>
  <c r="BQ96" i="1"/>
  <c r="AO98" i="1"/>
  <c r="AM98" i="1"/>
  <c r="Y97" i="1"/>
  <c r="N99" i="1"/>
  <c r="N97" i="1" s="1"/>
  <c r="M97" i="1"/>
  <c r="U94" i="1"/>
  <c r="T94" i="1"/>
  <c r="O98" i="1"/>
  <c r="Y102" i="1"/>
  <c r="V102" i="1"/>
  <c r="T102" i="1"/>
  <c r="AB102" i="1"/>
  <c r="AD102" i="1" s="1"/>
  <c r="P108" i="1"/>
  <c r="O108" i="1"/>
  <c r="V108" i="1" s="1"/>
  <c r="AM82" i="1"/>
  <c r="AL79" i="1"/>
  <c r="AY82" i="1"/>
  <c r="AY79" i="1" s="1"/>
  <c r="BP88" i="1"/>
  <c r="AB91" i="1"/>
  <c r="BV92" i="1"/>
  <c r="BL92" i="1"/>
  <c r="AX93" i="1"/>
  <c r="U102" i="1"/>
  <c r="AT103" i="1"/>
  <c r="AM103" i="1"/>
  <c r="AO107" i="1"/>
  <c r="AI104" i="1"/>
  <c r="AO104" i="1" s="1"/>
  <c r="AX108" i="1"/>
  <c r="AY108" i="1"/>
  <c r="AV108" i="1"/>
  <c r="S157" i="1"/>
  <c r="Y157" i="1" s="1"/>
  <c r="Q149" i="1"/>
  <c r="Q148" i="1" s="1"/>
  <c r="V94" i="1"/>
  <c r="BM99" i="1"/>
  <c r="AW99" i="1"/>
  <c r="BV99" i="1"/>
  <c r="BR99" i="1"/>
  <c r="AN110" i="1"/>
  <c r="AM110" i="1"/>
  <c r="AT110" i="1"/>
  <c r="BR83" i="1"/>
  <c r="U104" i="1"/>
  <c r="AH104" i="1"/>
  <c r="BV108" i="1"/>
  <c r="AY111" i="1"/>
  <c r="Y119" i="1"/>
  <c r="BH119" i="1"/>
  <c r="BM129" i="1"/>
  <c r="BM128" i="1" s="1"/>
  <c r="M180" i="1"/>
  <c r="M179" i="1" s="1"/>
  <c r="AX184" i="1"/>
  <c r="AY184" i="1"/>
  <c r="AV184" i="1"/>
  <c r="BQ81" i="1"/>
  <c r="BV83" i="1"/>
  <c r="AX100" i="1"/>
  <c r="AX101" i="1"/>
  <c r="BK104" i="1"/>
  <c r="BQ104" i="1" s="1"/>
  <c r="AM107" i="1"/>
  <c r="AY109" i="1"/>
  <c r="AX109" i="1"/>
  <c r="AB111" i="1"/>
  <c r="AD111" i="1" s="1"/>
  <c r="V111" i="1"/>
  <c r="U111" i="1"/>
  <c r="T111" i="1"/>
  <c r="AN113" i="1"/>
  <c r="AL112" i="1"/>
  <c r="AM113" i="1"/>
  <c r="K112" i="1"/>
  <c r="BD112" i="1"/>
  <c r="BK121" i="1"/>
  <c r="BR124" i="1"/>
  <c r="AW124" i="1"/>
  <c r="BG124" i="1"/>
  <c r="BR125" i="1"/>
  <c r="BL128" i="1"/>
  <c r="X104" i="1"/>
  <c r="Y104" i="1" s="1"/>
  <c r="BM107" i="1"/>
  <c r="T121" i="1"/>
  <c r="S119" i="1"/>
  <c r="AB121" i="1"/>
  <c r="AB119" i="1" s="1"/>
  <c r="AB112" i="1" s="1"/>
  <c r="Y121" i="1"/>
  <c r="V121" i="1"/>
  <c r="V124" i="1"/>
  <c r="U124" i="1"/>
  <c r="S122" i="1"/>
  <c r="AB124" i="1"/>
  <c r="AB122" i="1" s="1"/>
  <c r="BQ148" i="1"/>
  <c r="AV166" i="1"/>
  <c r="AY166" i="1"/>
  <c r="AX166" i="1"/>
  <c r="V128" i="1"/>
  <c r="U128" i="1"/>
  <c r="T128" i="1"/>
  <c r="Q131" i="1"/>
  <c r="N170" i="1"/>
  <c r="N169" i="1" s="1"/>
  <c r="P171" i="1"/>
  <c r="P170" i="1" s="1"/>
  <c r="P169" i="1" s="1"/>
  <c r="O171" i="1"/>
  <c r="AL104" i="1"/>
  <c r="T105" i="1"/>
  <c r="T106" i="1"/>
  <c r="BR107" i="1"/>
  <c r="AU112" i="1"/>
  <c r="AU87" i="1" s="1"/>
  <c r="AJ116" i="1"/>
  <c r="S112" i="1"/>
  <c r="V116" i="1"/>
  <c r="U116" i="1"/>
  <c r="AT112" i="1"/>
  <c r="Y124" i="1"/>
  <c r="X122" i="1"/>
  <c r="AH125" i="1"/>
  <c r="AJ127" i="1"/>
  <c r="AJ125" i="1" s="1"/>
  <c r="Y128" i="1"/>
  <c r="BV128" i="1"/>
  <c r="AV172" i="1"/>
  <c r="AY172" i="1"/>
  <c r="AX172" i="1"/>
  <c r="BR120" i="1"/>
  <c r="AW120" i="1"/>
  <c r="BI120" i="1"/>
  <c r="AV121" i="1"/>
  <c r="BQ130" i="1"/>
  <c r="BM130" i="1"/>
  <c r="AY182" i="1"/>
  <c r="AX182" i="1"/>
  <c r="AX180" i="1" s="1"/>
  <c r="AX179" i="1" s="1"/>
  <c r="AV182" i="1"/>
  <c r="AT180" i="1"/>
  <c r="AT179" i="1" s="1"/>
  <c r="V105" i="1"/>
  <c r="BL105" i="1"/>
  <c r="V106" i="1"/>
  <c r="AW107" i="1"/>
  <c r="BI109" i="1"/>
  <c r="BH110" i="1"/>
  <c r="AO121" i="1"/>
  <c r="AI119" i="1"/>
  <c r="AH149" i="1"/>
  <c r="AH148" i="1" s="1"/>
  <c r="AJ152" i="1"/>
  <c r="N159" i="1"/>
  <c r="N158" i="1" s="1"/>
  <c r="P161" i="1"/>
  <c r="BP112" i="1"/>
  <c r="BQ128" i="1"/>
  <c r="BI129" i="1"/>
  <c r="BI128" i="1" s="1"/>
  <c r="BG129" i="1"/>
  <c r="BG128" i="1" s="1"/>
  <c r="BR129" i="1"/>
  <c r="AW129" i="1"/>
  <c r="AW128" i="1" s="1"/>
  <c r="AV105" i="1"/>
  <c r="AV106" i="1"/>
  <c r="AB107" i="1"/>
  <c r="AD107" i="1" s="1"/>
  <c r="AD104" i="1" s="1"/>
  <c r="BL109" i="1"/>
  <c r="BR117" i="1"/>
  <c r="AW117" i="1"/>
  <c r="AV116" i="1"/>
  <c r="AV118" i="1"/>
  <c r="BG117" i="1"/>
  <c r="AH112" i="1"/>
  <c r="BJ121" i="1"/>
  <c r="BJ119" i="1" s="1"/>
  <c r="BR122" i="1"/>
  <c r="BG122" i="1"/>
  <c r="BL130" i="1"/>
  <c r="AE112" i="1"/>
  <c r="AX116" i="1"/>
  <c r="BG120" i="1"/>
  <c r="BL126" i="1"/>
  <c r="BQ126" i="1"/>
  <c r="BG167" i="1"/>
  <c r="BF167" i="1"/>
  <c r="BR167" i="1"/>
  <c r="AW167" i="1"/>
  <c r="BV107" i="1"/>
  <c r="V113" i="1"/>
  <c r="BV120" i="1"/>
  <c r="AY121" i="1"/>
  <c r="AY119" i="1" s="1"/>
  <c r="AY112" i="1" s="1"/>
  <c r="AX121" i="1"/>
  <c r="AX119" i="1" s="1"/>
  <c r="AX112" i="1" s="1"/>
  <c r="BV129" i="1"/>
  <c r="AP135" i="1"/>
  <c r="P157" i="1"/>
  <c r="O157" i="1"/>
  <c r="BG127" i="1"/>
  <c r="BG125" i="1" s="1"/>
  <c r="BR139" i="1"/>
  <c r="BM141" i="1"/>
  <c r="BG141" i="1"/>
  <c r="BF141" i="1"/>
  <c r="AO143" i="1"/>
  <c r="AN143" i="1"/>
  <c r="AH143" i="1"/>
  <c r="AJ143" i="1" s="1"/>
  <c r="M149" i="1"/>
  <c r="M148" i="1" s="1"/>
  <c r="M131" i="1" s="1"/>
  <c r="N152" i="1"/>
  <c r="M159" i="1"/>
  <c r="M158" i="1" s="1"/>
  <c r="X170" i="1"/>
  <c r="Y173" i="1"/>
  <c r="AV177" i="1"/>
  <c r="AY177" i="1"/>
  <c r="AX177" i="1"/>
  <c r="Y199" i="1"/>
  <c r="X197" i="1"/>
  <c r="BP322" i="1"/>
  <c r="BQ323" i="1"/>
  <c r="T113" i="1"/>
  <c r="T118" i="1"/>
  <c r="AW126" i="1"/>
  <c r="AW141" i="1"/>
  <c r="BI144" i="1"/>
  <c r="BG144" i="1"/>
  <c r="BQ149" i="1"/>
  <c r="BV156" i="1"/>
  <c r="BL156" i="1"/>
  <c r="AL159" i="1"/>
  <c r="BL161" i="1"/>
  <c r="BI164" i="1"/>
  <c r="BJ164" i="1"/>
  <c r="BH164" i="1"/>
  <c r="AM111" i="1"/>
  <c r="T125" i="1"/>
  <c r="BK128" i="1"/>
  <c r="AY129" i="1"/>
  <c r="AY128" i="1" s="1"/>
  <c r="AW130" i="1"/>
  <c r="AB143" i="1"/>
  <c r="AW144" i="1"/>
  <c r="AO153" i="1"/>
  <c r="Z149" i="1"/>
  <c r="Z148" i="1" s="1"/>
  <c r="AN153" i="1"/>
  <c r="AB153" i="1"/>
  <c r="AM160" i="1"/>
  <c r="O163" i="1"/>
  <c r="AM168" i="1"/>
  <c r="AO168" i="1"/>
  <c r="BM173" i="1"/>
  <c r="P176" i="1"/>
  <c r="O176" i="1"/>
  <c r="V176" i="1" s="1"/>
  <c r="AB190" i="1"/>
  <c r="U190" i="1"/>
  <c r="T190" i="1"/>
  <c r="Y190" i="1"/>
  <c r="S180" i="1"/>
  <c r="BH117" i="1"/>
  <c r="V118" i="1"/>
  <c r="BK120" i="1"/>
  <c r="AV122" i="1"/>
  <c r="AW123" i="1"/>
  <c r="BR123" i="1"/>
  <c r="BV130" i="1"/>
  <c r="O136" i="1"/>
  <c r="O133" i="1" s="1"/>
  <c r="O132" i="1" s="1"/>
  <c r="N136" i="1"/>
  <c r="P151" i="1"/>
  <c r="O151" i="1"/>
  <c r="V151" i="1" s="1"/>
  <c r="AA153" i="1"/>
  <c r="AH153" i="1" s="1"/>
  <c r="AJ153" i="1" s="1"/>
  <c r="AJ149" i="1" s="1"/>
  <c r="AJ148" i="1" s="1"/>
  <c r="AI149" i="1"/>
  <c r="AO157" i="1"/>
  <c r="BL163" i="1"/>
  <c r="BV163" i="1"/>
  <c r="U166" i="1"/>
  <c r="U159" i="1" s="1"/>
  <c r="U158" i="1" s="1"/>
  <c r="V166" i="1"/>
  <c r="T166" i="1"/>
  <c r="AH170" i="1"/>
  <c r="AH169" i="1" s="1"/>
  <c r="BI172" i="1"/>
  <c r="BJ172" i="1"/>
  <c r="BJ170" i="1" s="1"/>
  <c r="BJ169" i="1" s="1"/>
  <c r="AY175" i="1"/>
  <c r="AX175" i="1"/>
  <c r="BV178" i="1"/>
  <c r="BL178" i="1"/>
  <c r="V190" i="1"/>
  <c r="Z226" i="1"/>
  <c r="AN227" i="1"/>
  <c r="BI117" i="1"/>
  <c r="T127" i="1"/>
  <c r="AY130" i="1"/>
  <c r="AT133" i="1"/>
  <c r="AT132" i="1" s="1"/>
  <c r="AY135" i="1"/>
  <c r="V136" i="1"/>
  <c r="V133" i="1" s="1"/>
  <c r="AV151" i="1"/>
  <c r="BI151" i="1" s="1"/>
  <c r="AY154" i="1"/>
  <c r="AX154" i="1"/>
  <c r="V163" i="1"/>
  <c r="AN165" i="1"/>
  <c r="BV166" i="1"/>
  <c r="BL166" i="1"/>
  <c r="BQ169" i="1"/>
  <c r="AO171" i="1"/>
  <c r="AI170" i="1"/>
  <c r="BR173" i="1"/>
  <c r="AV175" i="1"/>
  <c r="BJ176" i="1"/>
  <c r="BJ261" i="1"/>
  <c r="BJ259" i="1" s="1"/>
  <c r="AU259" i="1"/>
  <c r="AV135" i="1"/>
  <c r="BG135" i="1" s="1"/>
  <c r="BK138" i="1"/>
  <c r="AY139" i="1"/>
  <c r="AX139" i="1"/>
  <c r="BR141" i="1"/>
  <c r="P150" i="1"/>
  <c r="O150" i="1"/>
  <c r="AY150" i="1"/>
  <c r="AY149" i="1" s="1"/>
  <c r="AY148" i="1" s="1"/>
  <c r="AX150" i="1"/>
  <c r="BL152" i="1"/>
  <c r="AO156" i="1"/>
  <c r="AN156" i="1"/>
  <c r="AB156" i="1"/>
  <c r="AN157" i="1"/>
  <c r="AL149" i="1"/>
  <c r="AT160" i="1"/>
  <c r="AJ170" i="1"/>
  <c r="AJ169" i="1" s="1"/>
  <c r="BV173" i="1"/>
  <c r="AB175" i="1"/>
  <c r="AB170" i="1" s="1"/>
  <c r="AB169" i="1" s="1"/>
  <c r="T175" i="1"/>
  <c r="Y175" i="1"/>
  <c r="S170" i="1"/>
  <c r="S169" i="1" s="1"/>
  <c r="P181" i="1"/>
  <c r="P180" i="1" s="1"/>
  <c r="P179" i="1" s="1"/>
  <c r="O181" i="1"/>
  <c r="BJ198" i="1"/>
  <c r="BI198" i="1"/>
  <c r="BH198" i="1"/>
  <c r="N261" i="1"/>
  <c r="V261" i="1"/>
  <c r="O259" i="1"/>
  <c r="V259" i="1" s="1"/>
  <c r="AM128" i="1"/>
  <c r="BJ139" i="1"/>
  <c r="AU133" i="1"/>
  <c r="AU132" i="1" s="1"/>
  <c r="AW143" i="1"/>
  <c r="Y146" i="1"/>
  <c r="V146" i="1"/>
  <c r="U146" i="1"/>
  <c r="AV150" i="1"/>
  <c r="AW153" i="1"/>
  <c r="AM157" i="1"/>
  <c r="S159" i="1"/>
  <c r="S158" i="1" s="1"/>
  <c r="AB160" i="1"/>
  <c r="Y160" i="1"/>
  <c r="V160" i="1"/>
  <c r="AV162" i="1"/>
  <c r="AY162" i="1"/>
  <c r="O165" i="1"/>
  <c r="V165" i="1" s="1"/>
  <c r="AT165" i="1"/>
  <c r="AM171" i="1"/>
  <c r="AL170" i="1"/>
  <c r="AT171" i="1"/>
  <c r="AN171" i="1"/>
  <c r="BL176" i="1"/>
  <c r="Y224" i="1"/>
  <c r="X223" i="1"/>
  <c r="AN224" i="1"/>
  <c r="AM224" i="1"/>
  <c r="AL223" i="1"/>
  <c r="BF118" i="1"/>
  <c r="BF116" i="1" s="1"/>
  <c r="BF112" i="1" s="1"/>
  <c r="BV134" i="1"/>
  <c r="BV136" i="1"/>
  <c r="BL136" i="1"/>
  <c r="BI139" i="1"/>
  <c r="BG139" i="1"/>
  <c r="BM144" i="1"/>
  <c r="AX153" i="1"/>
  <c r="T160" i="1"/>
  <c r="AB162" i="1"/>
  <c r="Y162" i="1"/>
  <c r="AB166" i="1"/>
  <c r="BL168" i="1"/>
  <c r="BV168" i="1"/>
  <c r="BL171" i="1"/>
  <c r="V175" i="1"/>
  <c r="AL179" i="1"/>
  <c r="AN180" i="1"/>
  <c r="AM180" i="1"/>
  <c r="BG189" i="1"/>
  <c r="AW189" i="1"/>
  <c r="BR189" i="1"/>
  <c r="BI189" i="1"/>
  <c r="Z112" i="1"/>
  <c r="AW127" i="1"/>
  <c r="AL138" i="1"/>
  <c r="AW139" i="1"/>
  <c r="X149" i="1"/>
  <c r="AD150" i="1"/>
  <c r="AO161" i="1"/>
  <c r="AI159" i="1"/>
  <c r="AX162" i="1"/>
  <c r="T165" i="1"/>
  <c r="AB165" i="1"/>
  <c r="AD165" i="1" s="1"/>
  <c r="AD159" i="1" s="1"/>
  <c r="AD158" i="1" s="1"/>
  <c r="AO179" i="1"/>
  <c r="AA180" i="1"/>
  <c r="AA179" i="1" s="1"/>
  <c r="BJ149" i="1"/>
  <c r="BJ148" i="1" s="1"/>
  <c r="BL157" i="1"/>
  <c r="AJ159" i="1"/>
  <c r="AJ158" i="1" s="1"/>
  <c r="BL174" i="1"/>
  <c r="X180" i="1"/>
  <c r="Y181" i="1"/>
  <c r="BJ195" i="1"/>
  <c r="BJ194" i="1" s="1"/>
  <c r="AU194" i="1"/>
  <c r="BM139" i="1"/>
  <c r="BL140" i="1"/>
  <c r="BV143" i="1"/>
  <c r="BL143" i="1"/>
  <c r="BV144" i="1"/>
  <c r="BV153" i="1"/>
  <c r="BL153" i="1"/>
  <c r="AT161" i="1"/>
  <c r="AN161" i="1"/>
  <c r="AM161" i="1"/>
  <c r="AM163" i="1"/>
  <c r="AO163" i="1"/>
  <c r="AW164" i="1"/>
  <c r="BR164" i="1"/>
  <c r="BM164" i="1"/>
  <c r="Y165" i="1"/>
  <c r="U170" i="1"/>
  <c r="U169" i="1" s="1"/>
  <c r="AW173" i="1"/>
  <c r="BK187" i="1"/>
  <c r="BG181" i="1"/>
  <c r="AI207" i="1"/>
  <c r="AO209" i="1"/>
  <c r="AM209" i="1"/>
  <c r="AN140" i="1"/>
  <c r="BM140" i="1"/>
  <c r="BR142" i="1"/>
  <c r="BI143" i="1"/>
  <c r="AN145" i="1"/>
  <c r="BX150" i="1"/>
  <c r="AB151" i="1"/>
  <c r="AN152" i="1"/>
  <c r="AH159" i="1"/>
  <c r="AH158" i="1" s="1"/>
  <c r="BR163" i="1"/>
  <c r="BR168" i="1"/>
  <c r="BP179" i="1"/>
  <c r="AH182" i="1"/>
  <c r="AJ182" i="1" s="1"/>
  <c r="AJ180" i="1" s="1"/>
  <c r="AJ179" i="1" s="1"/>
  <c r="Z180" i="1"/>
  <c r="Z179" i="1" s="1"/>
  <c r="AX183" i="1"/>
  <c r="AV183" i="1"/>
  <c r="BR207" i="1"/>
  <c r="BP206" i="1"/>
  <c r="BM261" i="1"/>
  <c r="BI261" i="1"/>
  <c r="BG261" i="1"/>
  <c r="AW261" i="1"/>
  <c r="BV261" i="1"/>
  <c r="BR261" i="1"/>
  <c r="AV134" i="1"/>
  <c r="AA139" i="1"/>
  <c r="AO140" i="1"/>
  <c r="AO145" i="1"/>
  <c r="AY157" i="1"/>
  <c r="AM174" i="1"/>
  <c r="BB179" i="1"/>
  <c r="BB131" i="1" s="1"/>
  <c r="AX185" i="1"/>
  <c r="AY185" i="1"/>
  <c r="AJ202" i="1"/>
  <c r="AJ197" i="1" s="1"/>
  <c r="AJ196" i="1" s="1"/>
  <c r="BM136" i="1"/>
  <c r="AA137" i="1"/>
  <c r="AV138" i="1"/>
  <c r="BR140" i="1"/>
  <c r="AW142" i="1"/>
  <c r="BX142" i="1"/>
  <c r="BX148" i="1" s="1"/>
  <c r="AW145" i="1"/>
  <c r="AV157" i="1"/>
  <c r="X159" i="1"/>
  <c r="T168" i="1"/>
  <c r="AN174" i="1"/>
  <c r="AV185" i="1"/>
  <c r="AB189" i="1"/>
  <c r="AN189" i="1"/>
  <c r="AH189" i="1"/>
  <c r="AJ189" i="1" s="1"/>
  <c r="AN190" i="1"/>
  <c r="AM190" i="1"/>
  <c r="AX134" i="1"/>
  <c r="AX133" i="1" s="1"/>
  <c r="AX132" i="1" s="1"/>
  <c r="AB137" i="1"/>
  <c r="AB133" i="1" s="1"/>
  <c r="AB132" i="1" s="1"/>
  <c r="AH139" i="1"/>
  <c r="BM143" i="1"/>
  <c r="BH151" i="1"/>
  <c r="BI162" i="1"/>
  <c r="U168" i="1"/>
  <c r="AM172" i="1"/>
  <c r="BH175" i="1"/>
  <c r="BJ185" i="1"/>
  <c r="BJ180" i="1" s="1"/>
  <c r="BJ179" i="1" s="1"/>
  <c r="BI185" i="1"/>
  <c r="AY190" i="1"/>
  <c r="AV190" i="1"/>
  <c r="AB197" i="1"/>
  <c r="AB196" i="1" s="1"/>
  <c r="AB238" i="1"/>
  <c r="AB237" i="1" s="1"/>
  <c r="T136" i="1"/>
  <c r="T133" i="1" s="1"/>
  <c r="T132" i="1" s="1"/>
  <c r="BR136" i="1"/>
  <c r="AN146" i="1"/>
  <c r="AX152" i="1"/>
  <c r="AX155" i="1"/>
  <c r="AX157" i="1"/>
  <c r="BJ162" i="1"/>
  <c r="U163" i="1"/>
  <c r="AW163" i="1"/>
  <c r="AN166" i="1"/>
  <c r="V168" i="1"/>
  <c r="AW168" i="1"/>
  <c r="AN172" i="1"/>
  <c r="BI173" i="1"/>
  <c r="AT174" i="1"/>
  <c r="BI175" i="1"/>
  <c r="AM181" i="1"/>
  <c r="BM181" i="1"/>
  <c r="BH185" i="1"/>
  <c r="BV188" i="1"/>
  <c r="BK188" i="1"/>
  <c r="AX190" i="1"/>
  <c r="BR197" i="1"/>
  <c r="AT197" i="1"/>
  <c r="AT196" i="1" s="1"/>
  <c r="AY201" i="1"/>
  <c r="AJ240" i="1"/>
  <c r="AJ238" i="1" s="1"/>
  <c r="AJ237" i="1" s="1"/>
  <c r="U136" i="1"/>
  <c r="U133" i="1" s="1"/>
  <c r="U132" i="1" s="1"/>
  <c r="AO146" i="1"/>
  <c r="T150" i="1"/>
  <c r="BJ160" i="1"/>
  <c r="AY163" i="1"/>
  <c r="BH165" i="1"/>
  <c r="AY168" i="1"/>
  <c r="BQ170" i="1"/>
  <c r="AB176" i="1"/>
  <c r="T176" i="1"/>
  <c r="T170" i="1" s="1"/>
  <c r="T169" i="1" s="1"/>
  <c r="AT176" i="1"/>
  <c r="AW178" i="1"/>
  <c r="BF180" i="1"/>
  <c r="BF179" i="1" s="1"/>
  <c r="BV181" i="1"/>
  <c r="AN182" i="1"/>
  <c r="AY183" i="1"/>
  <c r="AY180" i="1" s="1"/>
  <c r="AY179" i="1" s="1"/>
  <c r="AX187" i="1"/>
  <c r="AV187" i="1"/>
  <c r="BH190" i="1"/>
  <c r="BJ190" i="1"/>
  <c r="BI190" i="1"/>
  <c r="AY197" i="1"/>
  <c r="AY196" i="1" s="1"/>
  <c r="AV201" i="1"/>
  <c r="AI238" i="1"/>
  <c r="AO240" i="1"/>
  <c r="BF159" i="1"/>
  <c r="BF158" i="1" s="1"/>
  <c r="AB161" i="1"/>
  <c r="P162" i="1"/>
  <c r="Y163" i="1"/>
  <c r="AO182" i="1"/>
  <c r="AB183" i="1"/>
  <c r="AB180" i="1" s="1"/>
  <c r="AB179" i="1" s="1"/>
  <c r="U183" i="1"/>
  <c r="T183" i="1"/>
  <c r="V183" i="1"/>
  <c r="BL183" i="1"/>
  <c r="AO189" i="1"/>
  <c r="AX201" i="1"/>
  <c r="BM212" i="1"/>
  <c r="BI212" i="1"/>
  <c r="BG212" i="1"/>
  <c r="BG207" i="1" s="1"/>
  <c r="BG206" i="1" s="1"/>
  <c r="BR212" i="1"/>
  <c r="M222" i="1"/>
  <c r="BJ186" i="1"/>
  <c r="AU180" i="1"/>
  <c r="AU179" i="1" s="1"/>
  <c r="BG188" i="1"/>
  <c r="AW188" i="1"/>
  <c r="O197" i="1"/>
  <c r="O196" i="1" s="1"/>
  <c r="BR198" i="1"/>
  <c r="BG200" i="1"/>
  <c r="BF200" i="1"/>
  <c r="BR200" i="1"/>
  <c r="AW200" i="1"/>
  <c r="AX205" i="1"/>
  <c r="AO205" i="1"/>
  <c r="AN205" i="1"/>
  <c r="AH205" i="1"/>
  <c r="AJ205" i="1" s="1"/>
  <c r="AB205" i="1"/>
  <c r="AW273" i="1"/>
  <c r="BR273" i="1"/>
  <c r="BM273" i="1"/>
  <c r="BI273" i="1"/>
  <c r="BG273" i="1"/>
  <c r="BH304" i="1"/>
  <c r="BF301" i="1"/>
  <c r="BJ304" i="1"/>
  <c r="BJ301" i="1" s="1"/>
  <c r="BV189" i="1"/>
  <c r="BK189" i="1"/>
  <c r="P207" i="1"/>
  <c r="P206" i="1" s="1"/>
  <c r="AU222" i="1"/>
  <c r="X238" i="1"/>
  <c r="Y239" i="1"/>
  <c r="P273" i="1"/>
  <c r="M273" i="1"/>
  <c r="U208" i="1"/>
  <c r="U207" i="1" s="1"/>
  <c r="U206" i="1" s="1"/>
  <c r="T208" i="1"/>
  <c r="AB208" i="1"/>
  <c r="AB207" i="1" s="1"/>
  <c r="AB206" i="1" s="1"/>
  <c r="S207" i="1"/>
  <c r="S206" i="1" s="1"/>
  <c r="BG211" i="1"/>
  <c r="BF211" i="1"/>
  <c r="BF207" i="1" s="1"/>
  <c r="BF206" i="1" s="1"/>
  <c r="AO234" i="1"/>
  <c r="AM234" i="1"/>
  <c r="X301" i="1"/>
  <c r="Y304" i="1"/>
  <c r="AL196" i="1"/>
  <c r="AM197" i="1"/>
  <c r="P198" i="1"/>
  <c r="P197" i="1" s="1"/>
  <c r="P196" i="1" s="1"/>
  <c r="N197" i="1"/>
  <c r="N196" i="1" s="1"/>
  <c r="BJ199" i="1"/>
  <c r="BI199" i="1"/>
  <c r="V208" i="1"/>
  <c r="V207" i="1" s="1"/>
  <c r="V206" i="1" s="1"/>
  <c r="AW211" i="1"/>
  <c r="AD222" i="1"/>
  <c r="BO222" i="1"/>
  <c r="BB222" i="1"/>
  <c r="P240" i="1"/>
  <c r="N238" i="1"/>
  <c r="N237" i="1" s="1"/>
  <c r="N222" i="1" s="1"/>
  <c r="BM267" i="1"/>
  <c r="BI267" i="1"/>
  <c r="BG267" i="1"/>
  <c r="AW267" i="1"/>
  <c r="BV267" i="1"/>
  <c r="BR267" i="1"/>
  <c r="AB187" i="1"/>
  <c r="AN187" i="1"/>
  <c r="BL195" i="1"/>
  <c r="BL194" i="1" s="1"/>
  <c r="AW198" i="1"/>
  <c r="AW205" i="1"/>
  <c r="BV205" i="1"/>
  <c r="BR205" i="1"/>
  <c r="BM205" i="1"/>
  <c r="BI205" i="1"/>
  <c r="X208" i="1"/>
  <c r="AX210" i="1"/>
  <c r="Z207" i="1"/>
  <c r="AO210" i="1"/>
  <c r="AN210" i="1"/>
  <c r="AH210" i="1"/>
  <c r="AB210" i="1"/>
  <c r="BV212" i="1"/>
  <c r="U199" i="1"/>
  <c r="U197" i="1" s="1"/>
  <c r="U196" i="1" s="1"/>
  <c r="T199" i="1"/>
  <c r="T197" i="1" s="1"/>
  <c r="T196" i="1" s="1"/>
  <c r="BQ208" i="1"/>
  <c r="BL208" i="1"/>
  <c r="BH209" i="1"/>
  <c r="L222" i="1"/>
  <c r="L86" i="1" s="1"/>
  <c r="BD222" i="1"/>
  <c r="BK186" i="1"/>
  <c r="AH187" i="1"/>
  <c r="AJ187" i="1" s="1"/>
  <c r="BR194" i="1"/>
  <c r="Z197" i="1"/>
  <c r="Z196" i="1" s="1"/>
  <c r="AO196" i="1" s="1"/>
  <c r="AV197" i="1"/>
  <c r="AV196" i="1" s="1"/>
  <c r="BR196" i="1" s="1"/>
  <c r="V199" i="1"/>
  <c r="V197" i="1" s="1"/>
  <c r="V196" i="1" s="1"/>
  <c r="AA204" i="1"/>
  <c r="AA197" i="1" s="1"/>
  <c r="AA196" i="1" s="1"/>
  <c r="AO204" i="1"/>
  <c r="AN204" i="1"/>
  <c r="BG205" i="1"/>
  <c r="AP225" i="1"/>
  <c r="AJ224" i="1"/>
  <c r="AJ223" i="1" s="1"/>
  <c r="BV225" i="1"/>
  <c r="BH224" i="1"/>
  <c r="BL225" i="1"/>
  <c r="BL224" i="1" s="1"/>
  <c r="BL223" i="1" s="1"/>
  <c r="AD228" i="1"/>
  <c r="AD227" i="1" s="1"/>
  <c r="AD226" i="1" s="1"/>
  <c r="U228" i="1"/>
  <c r="S227" i="1"/>
  <c r="AB228" i="1"/>
  <c r="AB227" i="1" s="1"/>
  <c r="AB226" i="1" s="1"/>
  <c r="AB222" i="1" s="1"/>
  <c r="V228" i="1"/>
  <c r="AY264" i="1"/>
  <c r="AX264" i="1"/>
  <c r="AV264" i="1"/>
  <c r="BR213" i="1"/>
  <c r="AW213" i="1"/>
  <c r="BG213" i="1"/>
  <c r="BF213" i="1"/>
  <c r="BH226" i="1"/>
  <c r="BV226" i="1" s="1"/>
  <c r="BV227" i="1"/>
  <c r="M264" i="1"/>
  <c r="P264" i="1"/>
  <c r="AN185" i="1"/>
  <c r="AM185" i="1"/>
  <c r="BL199" i="1"/>
  <c r="AM207" i="1"/>
  <c r="BM208" i="1"/>
  <c r="BJ209" i="1"/>
  <c r="AW210" i="1"/>
  <c r="AW207" i="1" s="1"/>
  <c r="AW206" i="1" s="1"/>
  <c r="BR210" i="1"/>
  <c r="BM210" i="1"/>
  <c r="AV207" i="1"/>
  <c r="AV206" i="1" s="1"/>
  <c r="BI210" i="1"/>
  <c r="P222" i="1"/>
  <c r="BQ250" i="1"/>
  <c r="BQ251" i="1"/>
  <c r="BV202" i="1"/>
  <c r="V211" i="1"/>
  <c r="AB212" i="1"/>
  <c r="AY212" i="1"/>
  <c r="AW214" i="1"/>
  <c r="BW226" i="1"/>
  <c r="BW228" i="1" s="1"/>
  <c r="M238" i="1"/>
  <c r="M237" i="1" s="1"/>
  <c r="BI241" i="1"/>
  <c r="BH241" i="1"/>
  <c r="BV266" i="1"/>
  <c r="BR266" i="1"/>
  <c r="BM266" i="1"/>
  <c r="BI266" i="1"/>
  <c r="BG266" i="1"/>
  <c r="I280" i="1"/>
  <c r="I86" i="1" s="1"/>
  <c r="I321" i="1" s="1"/>
  <c r="T284" i="1"/>
  <c r="AA284" i="1" s="1"/>
  <c r="AH284" i="1" s="1"/>
  <c r="P284" i="1"/>
  <c r="BG195" i="1"/>
  <c r="BG194" i="1" s="1"/>
  <c r="BM204" i="1"/>
  <c r="AX214" i="1"/>
  <c r="O223" i="1"/>
  <c r="AO223" i="1"/>
  <c r="Y228" i="1"/>
  <c r="BJ236" i="1"/>
  <c r="BJ235" i="1" s="1"/>
  <c r="BJ234" i="1" s="1"/>
  <c r="BI236" i="1"/>
  <c r="BI235" i="1" s="1"/>
  <c r="BI234" i="1" s="1"/>
  <c r="BH236" i="1"/>
  <c r="BR240" i="1"/>
  <c r="AW240" i="1"/>
  <c r="AW238" i="1" s="1"/>
  <c r="AW237" i="1" s="1"/>
  <c r="AW222" i="1" s="1"/>
  <c r="AV238" i="1"/>
  <c r="AV237" i="1" s="1"/>
  <c r="BV245" i="1"/>
  <c r="AX248" i="1"/>
  <c r="AW248" i="1"/>
  <c r="AO248" i="1"/>
  <c r="AN248" i="1"/>
  <c r="AM251" i="1"/>
  <c r="P290" i="1"/>
  <c r="N280" i="1"/>
  <c r="V235" i="1"/>
  <c r="Z237" i="1"/>
  <c r="AN237" i="1" s="1"/>
  <c r="BQ244" i="1"/>
  <c r="BM244" i="1"/>
  <c r="BL244" i="1"/>
  <c r="O251" i="1"/>
  <c r="O250" i="1" s="1"/>
  <c r="AW258" i="1"/>
  <c r="AW252" i="1" s="1"/>
  <c r="BV258" i="1"/>
  <c r="BR258" i="1"/>
  <c r="BM258" i="1"/>
  <c r="BM252" i="1" s="1"/>
  <c r="AV252" i="1"/>
  <c r="BM199" i="1"/>
  <c r="AX202" i="1"/>
  <c r="BR204" i="1"/>
  <c r="AM238" i="1"/>
  <c r="BR238" i="1"/>
  <c r="BP237" i="1"/>
  <c r="BF240" i="1"/>
  <c r="BM246" i="1"/>
  <c r="BI246" i="1"/>
  <c r="BG246" i="1"/>
  <c r="AB248" i="1"/>
  <c r="AO251" i="1"/>
  <c r="AU251" i="1"/>
  <c r="AU250" i="1" s="1"/>
  <c r="N252" i="1"/>
  <c r="P258" i="1"/>
  <c r="P252" i="1" s="1"/>
  <c r="M258" i="1"/>
  <c r="M252" i="1" s="1"/>
  <c r="Y271" i="1"/>
  <c r="AW282" i="1"/>
  <c r="AW281" i="1" s="1"/>
  <c r="BD283" i="1"/>
  <c r="BD282" i="1" s="1"/>
  <c r="BD281" i="1" s="1"/>
  <c r="BD280" i="1" s="1"/>
  <c r="AW285" i="1"/>
  <c r="AW284" i="1" s="1"/>
  <c r="AO280" i="1"/>
  <c r="AN280" i="1"/>
  <c r="N308" i="1"/>
  <c r="N300" i="1" s="1"/>
  <c r="N299" i="1" s="1"/>
  <c r="BR316" i="1"/>
  <c r="BM316" i="1"/>
  <c r="BG316" i="1"/>
  <c r="BV316" i="1"/>
  <c r="BI316" i="1"/>
  <c r="P320" i="1"/>
  <c r="O320" i="1"/>
  <c r="V320" i="1" s="1"/>
  <c r="BR227" i="1"/>
  <c r="BQ227" i="1"/>
  <c r="BP226" i="1"/>
  <c r="AY245" i="1"/>
  <c r="AX245" i="1"/>
  <c r="AX238" i="1" s="1"/>
  <c r="AX237" i="1" s="1"/>
  <c r="AT228" i="1"/>
  <c r="AT238" i="1"/>
  <c r="AT237" i="1" s="1"/>
  <c r="AY249" i="1"/>
  <c r="AY238" i="1" s="1"/>
  <c r="AY237" i="1" s="1"/>
  <c r="AN249" i="1"/>
  <c r="AM249" i="1"/>
  <c r="V251" i="1"/>
  <c r="BV260" i="1"/>
  <c r="BH259" i="1"/>
  <c r="BL260" i="1"/>
  <c r="P316" i="1"/>
  <c r="O316" i="1"/>
  <c r="V316" i="1" s="1"/>
  <c r="BR199" i="1"/>
  <c r="AA202" i="1"/>
  <c r="O208" i="1"/>
  <c r="O207" i="1" s="1"/>
  <c r="O206" i="1" s="1"/>
  <c r="AM212" i="1"/>
  <c r="T213" i="1"/>
  <c r="AA214" i="1"/>
  <c r="AA207" i="1" s="1"/>
  <c r="AA206" i="1" s="1"/>
  <c r="T223" i="1"/>
  <c r="BR242" i="1"/>
  <c r="BM242" i="1"/>
  <c r="BG242" i="1"/>
  <c r="BF242" i="1"/>
  <c r="AU238" i="1"/>
  <c r="AU237" i="1" s="1"/>
  <c r="BJ248" i="1"/>
  <c r="Y251" i="1"/>
  <c r="X250" i="1"/>
  <c r="K251" i="1"/>
  <c r="U252" i="1"/>
  <c r="BV263" i="1"/>
  <c r="BL263" i="1"/>
  <c r="BM277" i="1"/>
  <c r="BI277" i="1"/>
  <c r="BG277" i="1"/>
  <c r="BV277" i="1"/>
  <c r="BR277" i="1"/>
  <c r="AM312" i="1"/>
  <c r="AO312" i="1"/>
  <c r="AW199" i="1"/>
  <c r="BI202" i="1"/>
  <c r="AW204" i="1"/>
  <c r="AV222" i="1"/>
  <c r="AO226" i="1"/>
  <c r="AO227" i="1"/>
  <c r="BF235" i="1"/>
  <c r="BF234" i="1" s="1"/>
  <c r="P238" i="1"/>
  <c r="P237" i="1" s="1"/>
  <c r="AW242" i="1"/>
  <c r="V245" i="1"/>
  <c r="T245" i="1"/>
  <c r="S238" i="1"/>
  <c r="BI258" i="1"/>
  <c r="BI252" i="1" s="1"/>
  <c r="BV269" i="1"/>
  <c r="BL269" i="1"/>
  <c r="AW277" i="1"/>
  <c r="X290" i="1"/>
  <c r="X291" i="1"/>
  <c r="Y295" i="1"/>
  <c r="T224" i="1"/>
  <c r="BW251" i="1"/>
  <c r="BJ251" i="1"/>
  <c r="BJ250" i="1" s="1"/>
  <c r="BL265" i="1"/>
  <c r="AZ280" i="1"/>
  <c r="AO224" i="1"/>
  <c r="BC225" i="1"/>
  <c r="BC224" i="1" s="1"/>
  <c r="BC223" i="1" s="1"/>
  <c r="BC222" i="1" s="1"/>
  <c r="AO247" i="1"/>
  <c r="AM247" i="1"/>
  <c r="BQ249" i="1"/>
  <c r="BM249" i="1"/>
  <c r="BL249" i="1"/>
  <c r="AA251" i="1"/>
  <c r="AA250" i="1" s="1"/>
  <c r="BQ290" i="1"/>
  <c r="AO300" i="1"/>
  <c r="AI299" i="1"/>
  <c r="AO299" i="1" s="1"/>
  <c r="BQ223" i="1"/>
  <c r="AM227" i="1"/>
  <c r="AL226" i="1"/>
  <c r="V241" i="1"/>
  <c r="O238" i="1"/>
  <c r="O237" i="1" s="1"/>
  <c r="BI244" i="1"/>
  <c r="BG244" i="1"/>
  <c r="BG238" i="1" s="1"/>
  <c r="BG237" i="1" s="1"/>
  <c r="BG222" i="1" s="1"/>
  <c r="AO259" i="1"/>
  <c r="AY261" i="1"/>
  <c r="AX261" i="1"/>
  <c r="AT259" i="1"/>
  <c r="AT251" i="1" s="1"/>
  <c r="AT250" i="1" s="1"/>
  <c r="AY267" i="1"/>
  <c r="AX267" i="1"/>
  <c r="AU288" i="1"/>
  <c r="BJ288" i="1" s="1"/>
  <c r="BE288" i="1"/>
  <c r="BG288" i="1" s="1"/>
  <c r="AX285" i="1"/>
  <c r="AX284" i="1" s="1"/>
  <c r="BI291" i="1"/>
  <c r="BI290" i="1" s="1"/>
  <c r="AH307" i="1"/>
  <c r="AJ307" i="1" s="1"/>
  <c r="AB307" i="1"/>
  <c r="AA307" i="1"/>
  <c r="AX307" i="1"/>
  <c r="AW307" i="1"/>
  <c r="AO307" i="1"/>
  <c r="AN307" i="1"/>
  <c r="BF239" i="1"/>
  <c r="BM247" i="1"/>
  <c r="BI263" i="1"/>
  <c r="P280" i="1"/>
  <c r="BE282" i="1"/>
  <c r="BE281" i="1" s="1"/>
  <c r="BL306" i="1"/>
  <c r="BV306" i="1"/>
  <c r="BR241" i="1"/>
  <c r="AX280" i="1"/>
  <c r="AL286" i="1"/>
  <c r="AK286" i="1"/>
  <c r="BJ286" i="1"/>
  <c r="AN287" i="1"/>
  <c r="AV287" i="1" s="1"/>
  <c r="AM287" i="1"/>
  <c r="AT287" i="1" s="1"/>
  <c r="BB287" i="1" s="1"/>
  <c r="U225" i="1"/>
  <c r="U235" i="1"/>
  <c r="AM240" i="1"/>
  <c r="AW241" i="1"/>
  <c r="BR247" i="1"/>
  <c r="BL248" i="1"/>
  <c r="S250" i="1"/>
  <c r="T251" i="1"/>
  <c r="BV262" i="1"/>
  <c r="BV268" i="1"/>
  <c r="BV276" i="1"/>
  <c r="BL276" i="1"/>
  <c r="T301" i="1"/>
  <c r="AA300" i="1"/>
  <c r="AA299" i="1" s="1"/>
  <c r="T234" i="1"/>
  <c r="T240" i="1"/>
  <c r="AN240" i="1"/>
  <c r="T243" i="1"/>
  <c r="BQ243" i="1"/>
  <c r="AH244" i="1"/>
  <c r="AJ244" i="1" s="1"/>
  <c r="BM248" i="1"/>
  <c r="U251" i="1"/>
  <c r="T259" i="1"/>
  <c r="AW262" i="1"/>
  <c r="AM263" i="1"/>
  <c r="BM263" i="1"/>
  <c r="AW268" i="1"/>
  <c r="AY272" i="1"/>
  <c r="AX272" i="1"/>
  <c r="BV273" i="1"/>
  <c r="BI288" i="1"/>
  <c r="AL289" i="1"/>
  <c r="AK289" i="1"/>
  <c r="BJ289" i="1"/>
  <c r="U301" i="1"/>
  <c r="AW243" i="1"/>
  <c r="AW249" i="1"/>
  <c r="BR249" i="1"/>
  <c r="M260" i="1"/>
  <c r="BR260" i="1"/>
  <c r="M263" i="1"/>
  <c r="AV265" i="1"/>
  <c r="BV265" i="1" s="1"/>
  <c r="M269" i="1"/>
  <c r="BR269" i="1"/>
  <c r="N272" i="1"/>
  <c r="BH281" i="1"/>
  <c r="AN288" i="1"/>
  <c r="AV288" i="1" s="1"/>
  <c r="AM288" i="1"/>
  <c r="AT288" i="1" s="1"/>
  <c r="BB288" i="1" s="1"/>
  <c r="BJ291" i="1"/>
  <c r="BJ290" i="1" s="1"/>
  <c r="BI295" i="1"/>
  <c r="BE295" i="1"/>
  <c r="AV291" i="1"/>
  <c r="BV291" i="1" s="1"/>
  <c r="P315" i="1"/>
  <c r="O315" i="1"/>
  <c r="V315" i="1" s="1"/>
  <c r="BI272" i="1"/>
  <c r="BG272" i="1"/>
  <c r="AW272" i="1"/>
  <c r="BV272" i="1"/>
  <c r="BR272" i="1"/>
  <c r="BV279" i="1"/>
  <c r="BL279" i="1"/>
  <c r="BF285" i="1"/>
  <c r="BF284" i="1" s="1"/>
  <c r="BF280" i="1" s="1"/>
  <c r="AO290" i="1"/>
  <c r="AW295" i="1"/>
  <c r="AW291" i="1" s="1"/>
  <c r="AW290" i="1" s="1"/>
  <c r="AH308" i="1"/>
  <c r="AH300" i="1" s="1"/>
  <c r="AH299" i="1" s="1"/>
  <c r="AJ311" i="1"/>
  <c r="AJ308" i="1" s="1"/>
  <c r="AJ300" i="1" s="1"/>
  <c r="AJ299" i="1" s="1"/>
  <c r="AX315" i="1"/>
  <c r="AX308" i="1" s="1"/>
  <c r="AX300" i="1" s="1"/>
  <c r="AX299" i="1" s="1"/>
  <c r="AY315" i="1"/>
  <c r="AV315" i="1"/>
  <c r="BM239" i="1"/>
  <c r="AN244" i="1"/>
  <c r="BG262" i="1"/>
  <c r="BG268" i="1"/>
  <c r="BV271" i="1"/>
  <c r="BR271" i="1"/>
  <c r="BM271" i="1"/>
  <c r="BG271" i="1"/>
  <c r="AE281" i="1"/>
  <c r="X280" i="1"/>
  <c r="Y281" i="1"/>
  <c r="AF281" i="1" s="1"/>
  <c r="BQ281" i="1"/>
  <c r="BM291" i="1"/>
  <c r="BM290" i="1" s="1"/>
  <c r="BM280" i="1" s="1"/>
  <c r="T295" i="1"/>
  <c r="S290" i="1"/>
  <c r="AB295" i="1"/>
  <c r="AB291" i="1" s="1"/>
  <c r="AB290" i="1" s="1"/>
  <c r="AB280" i="1" s="1"/>
  <c r="S291" i="1"/>
  <c r="AX305" i="1"/>
  <c r="AO305" i="1"/>
  <c r="AN305" i="1"/>
  <c r="AH305" i="1"/>
  <c r="AJ305" i="1" s="1"/>
  <c r="AB305" i="1"/>
  <c r="AY317" i="1"/>
  <c r="AV317" i="1"/>
  <c r="AA334" i="1"/>
  <c r="AA333" i="1" s="1"/>
  <c r="AA322" i="1" s="1"/>
  <c r="AM235" i="1"/>
  <c r="BF243" i="1"/>
  <c r="AM246" i="1"/>
  <c r="AM252" i="1"/>
  <c r="AW271" i="1"/>
  <c r="BM274" i="1"/>
  <c r="BI274" i="1"/>
  <c r="BG274" i="1"/>
  <c r="AN282" i="1"/>
  <c r="AM282" i="1"/>
  <c r="AT282" i="1" s="1"/>
  <c r="AN283" i="1"/>
  <c r="AV283" i="1" s="1"/>
  <c r="AM283" i="1"/>
  <c r="AT283" i="1" s="1"/>
  <c r="BB283" i="1" s="1"/>
  <c r="BB282" i="1" s="1"/>
  <c r="BB281" i="1" s="1"/>
  <c r="AU285" i="1"/>
  <c r="AU284" i="1" s="1"/>
  <c r="BR293" i="1"/>
  <c r="BQ293" i="1"/>
  <c r="U295" i="1"/>
  <c r="BP300" i="1"/>
  <c r="AA305" i="1"/>
  <c r="BQ310" i="1"/>
  <c r="AX317" i="1"/>
  <c r="BH349" i="1"/>
  <c r="BV350" i="1"/>
  <c r="BI270" i="1"/>
  <c r="BG270" i="1"/>
  <c r="AW270" i="1"/>
  <c r="BR270" i="1"/>
  <c r="BM272" i="1"/>
  <c r="AW274" i="1"/>
  <c r="AN281" i="1"/>
  <c r="AM281" i="1"/>
  <c r="AT281" i="1" s="1"/>
  <c r="AM290" i="1"/>
  <c r="V295" i="1"/>
  <c r="BM295" i="1"/>
  <c r="BL295" i="1"/>
  <c r="BL291" i="1" s="1"/>
  <c r="BL290" i="1" s="1"/>
  <c r="BL280" i="1" s="1"/>
  <c r="BK291" i="1"/>
  <c r="BK290" i="1" s="1"/>
  <c r="BK280" i="1" s="1"/>
  <c r="BQ280" i="1" s="1"/>
  <c r="BR310" i="1"/>
  <c r="BN322" i="1"/>
  <c r="BN346" i="1" s="1"/>
  <c r="BN352" i="1" s="1"/>
  <c r="AN341" i="1"/>
  <c r="AB341" i="1"/>
  <c r="AB339" i="1" s="1"/>
  <c r="AB334" i="1" s="1"/>
  <c r="AB333" i="1" s="1"/>
  <c r="AB322" i="1" s="1"/>
  <c r="AX341" i="1"/>
  <c r="AA341" i="1"/>
  <c r="AA339" i="1" s="1"/>
  <c r="Z339" i="1"/>
  <c r="Z334" i="1" s="1"/>
  <c r="Z333" i="1" s="1"/>
  <c r="Z322" i="1" s="1"/>
  <c r="AW341" i="1"/>
  <c r="M275" i="1"/>
  <c r="V277" i="1"/>
  <c r="M278" i="1"/>
  <c r="BR278" i="1"/>
  <c r="AK281" i="1"/>
  <c r="AK282" i="1"/>
  <c r="AK283" i="1"/>
  <c r="AK300" i="1"/>
  <c r="AK299" i="1" s="1"/>
  <c r="AK86" i="1" s="1"/>
  <c r="AK321" i="1" s="1"/>
  <c r="AK346" i="1" s="1"/>
  <c r="AV308" i="1"/>
  <c r="BR308" i="1" s="1"/>
  <c r="BG314" i="1"/>
  <c r="AW314" i="1"/>
  <c r="BR314" i="1"/>
  <c r="BV278" i="1"/>
  <c r="AN301" i="1"/>
  <c r="AM301" i="1"/>
  <c r="AB313" i="1"/>
  <c r="AB308" i="1" s="1"/>
  <c r="AB300" i="1" s="1"/>
  <c r="AB299" i="1" s="1"/>
  <c r="V313" i="1"/>
  <c r="BI313" i="1"/>
  <c r="BG313" i="1"/>
  <c r="AW313" i="1"/>
  <c r="BI319" i="1"/>
  <c r="BG319" i="1"/>
  <c r="AW319" i="1"/>
  <c r="BM328" i="1"/>
  <c r="BM327" i="1" s="1"/>
  <c r="BM324" i="1" s="1"/>
  <c r="BM323" i="1" s="1"/>
  <c r="BM322" i="1" s="1"/>
  <c r="AV327" i="1"/>
  <c r="AV324" i="1" s="1"/>
  <c r="BV324" i="1" s="1"/>
  <c r="AO341" i="1"/>
  <c r="AQ341" i="1" s="1"/>
  <c r="AS341" i="1" s="1"/>
  <c r="BR348" i="1"/>
  <c r="BP347" i="1"/>
  <c r="BQ348" i="1"/>
  <c r="AV275" i="1"/>
  <c r="AW278" i="1"/>
  <c r="BE287" i="1"/>
  <c r="BG287" i="1" s="1"/>
  <c r="AK288" i="1"/>
  <c r="AO293" i="1"/>
  <c r="AN294" i="1"/>
  <c r="AN296" i="1"/>
  <c r="AN297" i="1"/>
  <c r="BQ301" i="1"/>
  <c r="BR306" i="1"/>
  <c r="AT308" i="1"/>
  <c r="AT300" i="1" s="1"/>
  <c r="AT299" i="1" s="1"/>
  <c r="O311" i="1"/>
  <c r="AN311" i="1"/>
  <c r="AM311" i="1"/>
  <c r="T313" i="1"/>
  <c r="BI315" i="1"/>
  <c r="O319" i="1"/>
  <c r="V319" i="1" s="1"/>
  <c r="N322" i="1"/>
  <c r="BJ322" i="1"/>
  <c r="AW328" i="1"/>
  <c r="AW327" i="1" s="1"/>
  <c r="AW324" i="1" s="1"/>
  <c r="AW323" i="1" s="1"/>
  <c r="T342" i="1"/>
  <c r="I333" i="1"/>
  <c r="AA342" i="1"/>
  <c r="BL273" i="1"/>
  <c r="BR276" i="1"/>
  <c r="BR279" i="1"/>
  <c r="BF287" i="1"/>
  <c r="AO294" i="1"/>
  <c r="AO296" i="1"/>
  <c r="AO297" i="1"/>
  <c r="BR301" i="1"/>
  <c r="BM310" i="1"/>
  <c r="BF310" i="1"/>
  <c r="P311" i="1"/>
  <c r="P308" i="1" s="1"/>
  <c r="P300" i="1" s="1"/>
  <c r="P299" i="1" s="1"/>
  <c r="S308" i="1"/>
  <c r="S300" i="1" s="1"/>
  <c r="X312" i="1"/>
  <c r="V312" i="1"/>
  <c r="U313" i="1"/>
  <c r="V340" i="1"/>
  <c r="Z340" i="1" s="1"/>
  <c r="U340" i="1"/>
  <c r="AX275" i="1"/>
  <c r="O304" i="1"/>
  <c r="BJ309" i="1"/>
  <c r="BI309" i="1"/>
  <c r="BH309" i="1"/>
  <c r="AW310" i="1"/>
  <c r="BR311" i="1"/>
  <c r="BM311" i="1"/>
  <c r="BG311" i="1"/>
  <c r="T312" i="1"/>
  <c r="P318" i="1"/>
  <c r="O318" i="1"/>
  <c r="V318" i="1" s="1"/>
  <c r="AH322" i="1"/>
  <c r="BQ324" i="1"/>
  <c r="AO327" i="1"/>
  <c r="AI324" i="1"/>
  <c r="AL334" i="1"/>
  <c r="T340" i="1"/>
  <c r="BR350" i="1"/>
  <c r="BG278" i="1"/>
  <c r="BV312" i="1"/>
  <c r="BL312" i="1"/>
  <c r="Y323" i="1"/>
  <c r="V323" i="1"/>
  <c r="U323" i="1"/>
  <c r="S322" i="1"/>
  <c r="T323" i="1"/>
  <c r="AO339" i="1"/>
  <c r="AQ339" i="1" s="1"/>
  <c r="AS339" i="1" s="1"/>
  <c r="AN347" i="1"/>
  <c r="AW306" i="1"/>
  <c r="AW301" i="1" s="1"/>
  <c r="AY310" i="1"/>
  <c r="AY308" i="1" s="1"/>
  <c r="AY300" i="1" s="1"/>
  <c r="AY299" i="1" s="1"/>
  <c r="BI312" i="1"/>
  <c r="BM314" i="1"/>
  <c r="BM319" i="1"/>
  <c r="AJ340" i="1"/>
  <c r="BM351" i="1"/>
  <c r="BM350" i="1" s="1"/>
  <c r="BM349" i="1" s="1"/>
  <c r="BM348" i="1" s="1"/>
  <c r="BM347" i="1" s="1"/>
  <c r="BI351" i="1"/>
  <c r="BI350" i="1" s="1"/>
  <c r="BI349" i="1" s="1"/>
  <c r="BI348" i="1" s="1"/>
  <c r="BI347" i="1" s="1"/>
  <c r="BG351" i="1"/>
  <c r="BG350" i="1" s="1"/>
  <c r="BG349" i="1" s="1"/>
  <c r="BG348" i="1" s="1"/>
  <c r="BG347" i="1" s="1"/>
  <c r="AW351" i="1"/>
  <c r="AW350" i="1" s="1"/>
  <c r="AW349" i="1" s="1"/>
  <c r="AW348" i="1" s="1"/>
  <c r="AW347" i="1" s="1"/>
  <c r="T271" i="1"/>
  <c r="AW305" i="1"/>
  <c r="BG310" i="1"/>
  <c r="AB312" i="1"/>
  <c r="BM313" i="1"/>
  <c r="BR319" i="1"/>
  <c r="BQ319" i="1"/>
  <c r="BK322" i="1"/>
  <c r="V350" i="1"/>
  <c r="U350" i="1"/>
  <c r="S349" i="1"/>
  <c r="Y349" i="1" s="1"/>
  <c r="T350" i="1"/>
  <c r="BL322" i="1"/>
  <c r="AO337" i="1"/>
  <c r="AQ337" i="1" s="1"/>
  <c r="AS337" i="1" s="1"/>
  <c r="BG320" i="1"/>
  <c r="BR304" i="1"/>
  <c r="BM305" i="1"/>
  <c r="AL308" i="1"/>
  <c r="AL300" i="1" s="1"/>
  <c r="BM312" i="1"/>
  <c r="AO314" i="1"/>
  <c r="BG318" i="1"/>
  <c r="AJ337" i="1"/>
  <c r="AJ334" i="1" s="1"/>
  <c r="AJ333" i="1" s="1"/>
  <c r="AJ322" i="1" s="1"/>
  <c r="O338" i="1"/>
  <c r="O337" i="1" s="1"/>
  <c r="O334" i="1" s="1"/>
  <c r="O333" i="1" s="1"/>
  <c r="V333" i="1" s="1"/>
  <c r="BR312" i="1"/>
  <c r="AB318" i="1"/>
  <c r="U319" i="1"/>
  <c r="AL324" i="1"/>
  <c r="U333" i="1"/>
  <c r="AJ341" i="1"/>
  <c r="AJ339" i="1" s="1"/>
  <c r="AW312" i="1"/>
  <c r="AM316" i="1"/>
  <c r="BL320" i="1"/>
  <c r="BE327" i="1"/>
  <c r="BE324" i="1" s="1"/>
  <c r="BE323" i="1" s="1"/>
  <c r="BE322" i="1" s="1"/>
  <c r="BQ327" i="1"/>
  <c r="T334" i="1"/>
  <c r="BQ334" i="1"/>
  <c r="T337" i="1"/>
  <c r="U338" i="1"/>
  <c r="AI349" i="1"/>
  <c r="AM310" i="1"/>
  <c r="BH315" i="1"/>
  <c r="BM318" i="1"/>
  <c r="BM320" i="1"/>
  <c r="BI328" i="1"/>
  <c r="BI327" i="1" s="1"/>
  <c r="BI324" i="1" s="1"/>
  <c r="BI323" i="1" s="1"/>
  <c r="BI322" i="1" s="1"/>
  <c r="X333" i="1"/>
  <c r="BH333" i="1"/>
  <c r="BV333" i="1" s="1"/>
  <c r="U334" i="1"/>
  <c r="U337" i="1"/>
  <c r="T339" i="1"/>
  <c r="BQ339" i="1"/>
  <c r="Y338" i="1"/>
  <c r="T341" i="1"/>
  <c r="AM350" i="1"/>
  <c r="BR320" i="1"/>
  <c r="U341" i="1"/>
  <c r="BQ350" i="1"/>
  <c r="AL299" i="1" l="1"/>
  <c r="AN300" i="1"/>
  <c r="AM300" i="1"/>
  <c r="BJ3" i="1"/>
  <c r="T300" i="1"/>
  <c r="U300" i="1"/>
  <c r="S299" i="1"/>
  <c r="V59" i="1"/>
  <c r="U59" i="1"/>
  <c r="T59" i="1"/>
  <c r="O24" i="1"/>
  <c r="BQ3" i="1"/>
  <c r="AY104" i="1"/>
  <c r="BR49" i="1"/>
  <c r="BQ49" i="1"/>
  <c r="BL3" i="1"/>
  <c r="AX174" i="1"/>
  <c r="AV174" i="1"/>
  <c r="AY174" i="1"/>
  <c r="AN179" i="1"/>
  <c r="AM179" i="1"/>
  <c r="BM76" i="1"/>
  <c r="BI76" i="1"/>
  <c r="BG76" i="1"/>
  <c r="AW76" i="1"/>
  <c r="BR76" i="1"/>
  <c r="V338" i="1"/>
  <c r="BJ310" i="1"/>
  <c r="BI310" i="1"/>
  <c r="BH310" i="1"/>
  <c r="BJ243" i="1"/>
  <c r="BI243" i="1"/>
  <c r="BH243" i="1"/>
  <c r="BC288" i="1"/>
  <c r="BV288" i="1"/>
  <c r="BR288" i="1"/>
  <c r="Y291" i="1"/>
  <c r="BV224" i="1"/>
  <c r="BH223" i="1"/>
  <c r="T207" i="1"/>
  <c r="T206" i="1" s="1"/>
  <c r="BR138" i="1"/>
  <c r="AW138" i="1"/>
  <c r="BI138" i="1"/>
  <c r="BG138" i="1"/>
  <c r="AI206" i="1"/>
  <c r="AO207" i="1"/>
  <c r="AB159" i="1"/>
  <c r="AB158" i="1" s="1"/>
  <c r="AX149" i="1"/>
  <c r="AX148" i="1" s="1"/>
  <c r="AW122" i="1"/>
  <c r="AW116" i="1"/>
  <c r="AO119" i="1"/>
  <c r="AM119" i="1"/>
  <c r="AI112" i="1"/>
  <c r="AO112" i="1" s="1"/>
  <c r="BV172" i="1"/>
  <c r="BR172" i="1"/>
  <c r="BM172" i="1"/>
  <c r="BG172" i="1"/>
  <c r="AW172" i="1"/>
  <c r="AJ112" i="1"/>
  <c r="V122" i="1"/>
  <c r="U122" i="1"/>
  <c r="T122" i="1"/>
  <c r="X88" i="1"/>
  <c r="Y89" i="1"/>
  <c r="BF88" i="1"/>
  <c r="BF87" i="1" s="1"/>
  <c r="AB104" i="1"/>
  <c r="AV71" i="1"/>
  <c r="AY71" i="1"/>
  <c r="AX71" i="1"/>
  <c r="AX67" i="1" s="1"/>
  <c r="AX59" i="1" s="1"/>
  <c r="AX48" i="1" s="1"/>
  <c r="U93" i="1"/>
  <c r="T93" i="1"/>
  <c r="Y93" i="1"/>
  <c r="AB93" i="1"/>
  <c r="AD93" i="1" s="1"/>
  <c r="AD89" i="1" s="1"/>
  <c r="AD88" i="1" s="1"/>
  <c r="AD87" i="1" s="1"/>
  <c r="AD86" i="1" s="1"/>
  <c r="AD321" i="1" s="1"/>
  <c r="AD346" i="1" s="1"/>
  <c r="AD352" i="1" s="1"/>
  <c r="V93" i="1"/>
  <c r="BL73" i="1"/>
  <c r="BJ93" i="1"/>
  <c r="BJ89" i="1" s="1"/>
  <c r="BJ88" i="1" s="1"/>
  <c r="BI93" i="1"/>
  <c r="BH93" i="1"/>
  <c r="BR63" i="1"/>
  <c r="BG63" i="1"/>
  <c r="AV60" i="1"/>
  <c r="AW63" i="1"/>
  <c r="AB18" i="1"/>
  <c r="AB17" i="1" s="1"/>
  <c r="AB3" i="1" s="1"/>
  <c r="AB2" i="1" s="1"/>
  <c r="BK3" i="1"/>
  <c r="BG30" i="1"/>
  <c r="BV8" i="1"/>
  <c r="BR8" i="1"/>
  <c r="AV4" i="1"/>
  <c r="N5" i="1"/>
  <c r="N4" i="1" s="1"/>
  <c r="N3" i="1" s="1"/>
  <c r="P6" i="1"/>
  <c r="P5" i="1" s="1"/>
  <c r="P4" i="1" s="1"/>
  <c r="BI50" i="1"/>
  <c r="BI49" i="1" s="1"/>
  <c r="AL323" i="1"/>
  <c r="AN324" i="1"/>
  <c r="AM324" i="1"/>
  <c r="BF222" i="1"/>
  <c r="Y149" i="1"/>
  <c r="X148" i="1"/>
  <c r="U112" i="1"/>
  <c r="T112" i="1"/>
  <c r="V112" i="1"/>
  <c r="AV102" i="1"/>
  <c r="AY102" i="1"/>
  <c r="AX102" i="1"/>
  <c r="AT97" i="1"/>
  <c r="AX73" i="1"/>
  <c r="AV73" i="1"/>
  <c r="BV73" i="1" s="1"/>
  <c r="AY73" i="1"/>
  <c r="AX22" i="1"/>
  <c r="AX18" i="1" s="1"/>
  <c r="AX17" i="1" s="1"/>
  <c r="AX3" i="1" s="1"/>
  <c r="AX2" i="1" s="1"/>
  <c r="AV22" i="1"/>
  <c r="AY22" i="1"/>
  <c r="V337" i="1"/>
  <c r="V291" i="1"/>
  <c r="U291" i="1"/>
  <c r="T291" i="1"/>
  <c r="BE285" i="1"/>
  <c r="BE284" i="1" s="1"/>
  <c r="AX259" i="1"/>
  <c r="AX251" i="1" s="1"/>
  <c r="AX250" i="1" s="1"/>
  <c r="BR327" i="1"/>
  <c r="Y290" i="1"/>
  <c r="BJ242" i="1"/>
  <c r="BI242" i="1"/>
  <c r="BH242" i="1"/>
  <c r="BR226" i="1"/>
  <c r="BQ226" i="1"/>
  <c r="BP222" i="1"/>
  <c r="BV252" i="1"/>
  <c r="BR252" i="1"/>
  <c r="BV236" i="1"/>
  <c r="BL236" i="1"/>
  <c r="BL235" i="1" s="1"/>
  <c r="BL234" i="1" s="1"/>
  <c r="BH235" i="1"/>
  <c r="AN196" i="1"/>
  <c r="AM196" i="1"/>
  <c r="AA133" i="1"/>
  <c r="AA132" i="1" s="1"/>
  <c r="Z222" i="1"/>
  <c r="AY138" i="1"/>
  <c r="AN138" i="1"/>
  <c r="AM138" i="1"/>
  <c r="AL133" i="1"/>
  <c r="BV138" i="1"/>
  <c r="AN159" i="1"/>
  <c r="AM159" i="1"/>
  <c r="AL158" i="1"/>
  <c r="BQ322" i="1"/>
  <c r="P152" i="1"/>
  <c r="N149" i="1"/>
  <c r="N148" i="1" s="1"/>
  <c r="AD97" i="1"/>
  <c r="AE87" i="1"/>
  <c r="Q86" i="1"/>
  <c r="AX94" i="1"/>
  <c r="AY94" i="1"/>
  <c r="AV94" i="1"/>
  <c r="BK88" i="1"/>
  <c r="BQ88" i="1" s="1"/>
  <c r="X17" i="1"/>
  <c r="Y17" i="1" s="1"/>
  <c r="Y18" i="1"/>
  <c r="BL25" i="1"/>
  <c r="BL24" i="1" s="1"/>
  <c r="V31" i="1"/>
  <c r="O30" i="1"/>
  <c r="U8" i="1"/>
  <c r="T8" i="1"/>
  <c r="S4" i="1"/>
  <c r="O18" i="1"/>
  <c r="BM50" i="1"/>
  <c r="BM49" i="1" s="1"/>
  <c r="I322" i="1"/>
  <c r="I346" i="1" s="1"/>
  <c r="I352" i="1" s="1"/>
  <c r="T333" i="1"/>
  <c r="O301" i="1"/>
  <c r="V304" i="1"/>
  <c r="AW322" i="1"/>
  <c r="BR324" i="1"/>
  <c r="AV323" i="1"/>
  <c r="BH348" i="1"/>
  <c r="BV349" i="1"/>
  <c r="AV282" i="1"/>
  <c r="BI283" i="1"/>
  <c r="BI282" i="1" s="1"/>
  <c r="BI281" i="1" s="1"/>
  <c r="BC283" i="1"/>
  <c r="BC282" i="1" s="1"/>
  <c r="BC281" i="1" s="1"/>
  <c r="BV283" i="1"/>
  <c r="BR283" i="1"/>
  <c r="BR287" i="1"/>
  <c r="BC287" i="1"/>
  <c r="BV287" i="1"/>
  <c r="AY259" i="1"/>
  <c r="AY251" i="1" s="1"/>
  <c r="AY250" i="1" s="1"/>
  <c r="BL259" i="1"/>
  <c r="BL251" i="1" s="1"/>
  <c r="BL250" i="1" s="1"/>
  <c r="BI264" i="1"/>
  <c r="BI259" i="1" s="1"/>
  <c r="BI251" i="1" s="1"/>
  <c r="BI250" i="1" s="1"/>
  <c r="BG264" i="1"/>
  <c r="BG259" i="1" s="1"/>
  <c r="BG251" i="1" s="1"/>
  <c r="BG250" i="1" s="1"/>
  <c r="AW264" i="1"/>
  <c r="AW259" i="1" s="1"/>
  <c r="AW251" i="1" s="1"/>
  <c r="AW250" i="1" s="1"/>
  <c r="BR264" i="1"/>
  <c r="BM264" i="1"/>
  <c r="BM259" i="1" s="1"/>
  <c r="BM251" i="1" s="1"/>
  <c r="BM250" i="1" s="1"/>
  <c r="AJ222" i="1"/>
  <c r="BM186" i="1"/>
  <c r="BQ186" i="1"/>
  <c r="BL186" i="1"/>
  <c r="AN197" i="1"/>
  <c r="BH301" i="1"/>
  <c r="BV304" i="1"/>
  <c r="BL304" i="1"/>
  <c r="BL301" i="1" s="1"/>
  <c r="BL190" i="1"/>
  <c r="BV190" i="1"/>
  <c r="BR206" i="1"/>
  <c r="BM187" i="1"/>
  <c r="BQ187" i="1"/>
  <c r="BL187" i="1"/>
  <c r="AY161" i="1"/>
  <c r="AX161" i="1"/>
  <c r="AV161" i="1"/>
  <c r="O149" i="1"/>
  <c r="O148" i="1" s="1"/>
  <c r="V150" i="1"/>
  <c r="V149" i="1" s="1"/>
  <c r="V148" i="1" s="1"/>
  <c r="BG175" i="1"/>
  <c r="BM175" i="1"/>
  <c r="AW175" i="1"/>
  <c r="BR175" i="1"/>
  <c r="BG151" i="1"/>
  <c r="BR151" i="1"/>
  <c r="BM151" i="1"/>
  <c r="AW151" i="1"/>
  <c r="BK119" i="1"/>
  <c r="BQ119" i="1" s="1"/>
  <c r="BL120" i="1"/>
  <c r="BQ120" i="1"/>
  <c r="BM120" i="1"/>
  <c r="BM119" i="1" s="1"/>
  <c r="BJ167" i="1"/>
  <c r="BI167" i="1"/>
  <c r="BH167" i="1"/>
  <c r="AV78" i="1"/>
  <c r="AY78" i="1"/>
  <c r="AY67" i="1" s="1"/>
  <c r="AY59" i="1" s="1"/>
  <c r="AY48" i="1" s="1"/>
  <c r="AX78" i="1"/>
  <c r="BK127" i="1"/>
  <c r="BV127" i="1"/>
  <c r="AI59" i="1"/>
  <c r="BR68" i="1"/>
  <c r="AW68" i="1"/>
  <c r="BI68" i="1"/>
  <c r="BM68" i="1"/>
  <c r="BG68" i="1"/>
  <c r="AH95" i="1"/>
  <c r="Z89" i="1"/>
  <c r="AA95" i="1"/>
  <c r="AA89" i="1" s="1"/>
  <c r="AA88" i="1" s="1"/>
  <c r="AA87" i="1" s="1"/>
  <c r="AB95" i="1"/>
  <c r="N59" i="1"/>
  <c r="N48" i="1" s="1"/>
  <c r="V25" i="1"/>
  <c r="T25" i="1"/>
  <c r="S24" i="1"/>
  <c r="U25" i="1"/>
  <c r="AI4" i="1"/>
  <c r="AO8" i="1"/>
  <c r="BV29" i="1"/>
  <c r="BM29" i="1"/>
  <c r="BM25" i="1" s="1"/>
  <c r="BM24" i="1" s="1"/>
  <c r="BR29" i="1"/>
  <c r="AW29" i="1"/>
  <c r="AO324" i="1"/>
  <c r="AI323" i="1"/>
  <c r="BR347" i="1"/>
  <c r="BQ347" i="1"/>
  <c r="BH322" i="1"/>
  <c r="V334" i="1"/>
  <c r="V290" i="1"/>
  <c r="U290" i="1"/>
  <c r="T290" i="1"/>
  <c r="S280" i="1"/>
  <c r="Y280" i="1" s="1"/>
  <c r="BH280" i="1"/>
  <c r="U250" i="1"/>
  <c r="T250" i="1"/>
  <c r="V250" i="1"/>
  <c r="BH251" i="1"/>
  <c r="BG187" i="1"/>
  <c r="BG180" i="1" s="1"/>
  <c r="BG179" i="1" s="1"/>
  <c r="AW187" i="1"/>
  <c r="BI187" i="1"/>
  <c r="BR187" i="1"/>
  <c r="BL165" i="1"/>
  <c r="BL151" i="1"/>
  <c r="BL149" i="1" s="1"/>
  <c r="BL148" i="1" s="1"/>
  <c r="BH149" i="1"/>
  <c r="BV151" i="1"/>
  <c r="BG185" i="1"/>
  <c r="BR185" i="1"/>
  <c r="AW185" i="1"/>
  <c r="BV187" i="1"/>
  <c r="BL170" i="1"/>
  <c r="BL169" i="1" s="1"/>
  <c r="AX171" i="1"/>
  <c r="AY171" i="1"/>
  <c r="AY170" i="1" s="1"/>
  <c r="AY169" i="1" s="1"/>
  <c r="AV171" i="1"/>
  <c r="AT170" i="1"/>
  <c r="AT169" i="1" s="1"/>
  <c r="M261" i="1"/>
  <c r="N259" i="1"/>
  <c r="P261" i="1"/>
  <c r="P149" i="1"/>
  <c r="P148" i="1" s="1"/>
  <c r="V132" i="1"/>
  <c r="Y197" i="1"/>
  <c r="X196" i="1"/>
  <c r="Y196" i="1" s="1"/>
  <c r="BR116" i="1"/>
  <c r="BL110" i="1"/>
  <c r="AB157" i="1"/>
  <c r="AB149" i="1" s="1"/>
  <c r="AB148" i="1" s="1"/>
  <c r="AB131" i="1" s="1"/>
  <c r="V157" i="1"/>
  <c r="U157" i="1"/>
  <c r="U149" i="1" s="1"/>
  <c r="U148" i="1" s="1"/>
  <c r="U131" i="1" s="1"/>
  <c r="T157" i="1"/>
  <c r="S149" i="1"/>
  <c r="S148" i="1" s="1"/>
  <c r="P92" i="1"/>
  <c r="P89" i="1" s="1"/>
  <c r="O92" i="1"/>
  <c r="N89" i="1"/>
  <c r="N88" i="1" s="1"/>
  <c r="N87" i="1" s="1"/>
  <c r="BI81" i="1"/>
  <c r="BI79" i="1" s="1"/>
  <c r="BJ81" i="1"/>
  <c r="BJ79" i="1" s="1"/>
  <c r="BH81" i="1"/>
  <c r="BF79" i="1"/>
  <c r="AB48" i="1"/>
  <c r="V49" i="1"/>
  <c r="U49" i="1"/>
  <c r="T49" i="1"/>
  <c r="S48" i="1"/>
  <c r="AT67" i="1"/>
  <c r="AT59" i="1" s="1"/>
  <c r="AT48" i="1" s="1"/>
  <c r="AW60" i="1"/>
  <c r="AB24" i="1"/>
  <c r="BM28" i="1"/>
  <c r="BV28" i="1"/>
  <c r="AW28" i="1"/>
  <c r="BR28" i="1"/>
  <c r="BG28" i="1"/>
  <c r="AT18" i="1"/>
  <c r="AT17" i="1" s="1"/>
  <c r="AT3" i="1" s="1"/>
  <c r="AT2" i="1" s="1"/>
  <c r="X322" i="1"/>
  <c r="Y322" i="1" s="1"/>
  <c r="Y333" i="1"/>
  <c r="BG317" i="1"/>
  <c r="BG308" i="1" s="1"/>
  <c r="BG300" i="1" s="1"/>
  <c r="BG299" i="1" s="1"/>
  <c r="BF317" i="1"/>
  <c r="BR317" i="1"/>
  <c r="AW317" i="1"/>
  <c r="AV300" i="1"/>
  <c r="AV299" i="1" s="1"/>
  <c r="BG283" i="1"/>
  <c r="BG282" i="1" s="1"/>
  <c r="BG281" i="1" s="1"/>
  <c r="AW280" i="1"/>
  <c r="BJ240" i="1"/>
  <c r="BI240" i="1"/>
  <c r="BH240" i="1"/>
  <c r="AH207" i="1"/>
  <c r="AH206" i="1" s="1"/>
  <c r="AJ210" i="1"/>
  <c r="AJ207" i="1" s="1"/>
  <c r="AJ206" i="1" s="1"/>
  <c r="Y301" i="1"/>
  <c r="X300" i="1"/>
  <c r="AH197" i="1"/>
  <c r="AH196" i="1" s="1"/>
  <c r="BG134" i="1"/>
  <c r="BG133" i="1" s="1"/>
  <c r="BG132" i="1" s="1"/>
  <c r="AW134" i="1"/>
  <c r="BR134" i="1"/>
  <c r="BI134" i="1"/>
  <c r="BI133" i="1" s="1"/>
  <c r="BI132" i="1" s="1"/>
  <c r="AV133" i="1"/>
  <c r="BM134" i="1"/>
  <c r="BG183" i="1"/>
  <c r="BR183" i="1"/>
  <c r="AW183" i="1"/>
  <c r="BM183" i="1"/>
  <c r="BI183" i="1"/>
  <c r="Y180" i="1"/>
  <c r="X179" i="1"/>
  <c r="AN170" i="1"/>
  <c r="AM170" i="1"/>
  <c r="AL169" i="1"/>
  <c r="AW150" i="1"/>
  <c r="BV150" i="1"/>
  <c r="BR150" i="1"/>
  <c r="BM150" i="1"/>
  <c r="AV149" i="1"/>
  <c r="BV198" i="1"/>
  <c r="BL198" i="1"/>
  <c r="AI169" i="1"/>
  <c r="AO169" i="1" s="1"/>
  <c r="AO170" i="1"/>
  <c r="AY133" i="1"/>
  <c r="AY132" i="1" s="1"/>
  <c r="AI148" i="1"/>
  <c r="AO149" i="1"/>
  <c r="BH116" i="1"/>
  <c r="BV117" i="1"/>
  <c r="BK117" i="1"/>
  <c r="O159" i="1"/>
  <c r="O158" i="1" s="1"/>
  <c r="O131" i="1" s="1"/>
  <c r="BV106" i="1"/>
  <c r="AW106" i="1"/>
  <c r="BR106" i="1"/>
  <c r="BM106" i="1"/>
  <c r="BI106" i="1"/>
  <c r="BG106" i="1"/>
  <c r="BL121" i="1"/>
  <c r="BQ121" i="1"/>
  <c r="BM121" i="1"/>
  <c r="BM108" i="1"/>
  <c r="BI108" i="1"/>
  <c r="BG108" i="1"/>
  <c r="AW108" i="1"/>
  <c r="BR108" i="1"/>
  <c r="AN67" i="1"/>
  <c r="AM67" i="1"/>
  <c r="AY89" i="1"/>
  <c r="AX97" i="1"/>
  <c r="BV76" i="1"/>
  <c r="BR60" i="1"/>
  <c r="BP59" i="1"/>
  <c r="AY72" i="1"/>
  <c r="AX72" i="1"/>
  <c r="AV72" i="1"/>
  <c r="BL63" i="1"/>
  <c r="BL60" i="1" s="1"/>
  <c r="BQ63" i="1"/>
  <c r="BM63" i="1"/>
  <c r="BM60" i="1" s="1"/>
  <c r="BK60" i="1"/>
  <c r="BQ60" i="1" s="1"/>
  <c r="BG60" i="1"/>
  <c r="AN60" i="1"/>
  <c r="AL59" i="1"/>
  <c r="AM60" i="1"/>
  <c r="AY18" i="1"/>
  <c r="AY17" i="1" s="1"/>
  <c r="AY3" i="1" s="1"/>
  <c r="AM50" i="1"/>
  <c r="AL49" i="1"/>
  <c r="AN50" i="1"/>
  <c r="BI25" i="1"/>
  <c r="BI24" i="1" s="1"/>
  <c r="AW25" i="1"/>
  <c r="AW24" i="1" s="1"/>
  <c r="V60" i="1"/>
  <c r="BF24" i="1"/>
  <c r="BF3" i="1" s="1"/>
  <c r="AU48" i="1"/>
  <c r="AU2" i="1" s="1"/>
  <c r="BR13" i="1"/>
  <c r="BQ13" i="1"/>
  <c r="M259" i="1"/>
  <c r="M251" i="1" s="1"/>
  <c r="M250" i="1" s="1"/>
  <c r="M86" i="1" s="1"/>
  <c r="M321" i="1" s="1"/>
  <c r="M346" i="1" s="1"/>
  <c r="M352" i="1" s="1"/>
  <c r="V349" i="1"/>
  <c r="U349" i="1"/>
  <c r="S348" i="1"/>
  <c r="T349" i="1"/>
  <c r="P272" i="1"/>
  <c r="M272" i="1"/>
  <c r="BI200" i="1"/>
  <c r="BH200" i="1"/>
  <c r="BJ200" i="1"/>
  <c r="BJ159" i="1"/>
  <c r="BJ158" i="1" s="1"/>
  <c r="BM188" i="1"/>
  <c r="BQ188" i="1"/>
  <c r="BL188" i="1"/>
  <c r="AJ139" i="1"/>
  <c r="AJ133" i="1" s="1"/>
  <c r="AJ132" i="1" s="1"/>
  <c r="AH133" i="1"/>
  <c r="AH132" i="1" s="1"/>
  <c r="AH131" i="1" s="1"/>
  <c r="AV160" i="1"/>
  <c r="AY160" i="1"/>
  <c r="AX160" i="1"/>
  <c r="AT159" i="1"/>
  <c r="AT158" i="1" s="1"/>
  <c r="AT131" i="1" s="1"/>
  <c r="S179" i="1"/>
  <c r="U180" i="1"/>
  <c r="U179" i="1" s="1"/>
  <c r="T180" i="1"/>
  <c r="T179" i="1" s="1"/>
  <c r="AH180" i="1"/>
  <c r="AH179" i="1" s="1"/>
  <c r="BV105" i="1"/>
  <c r="BR105" i="1"/>
  <c r="AW105" i="1"/>
  <c r="BI105" i="1"/>
  <c r="BG105" i="1"/>
  <c r="BR121" i="1"/>
  <c r="AW121" i="1"/>
  <c r="AW119" i="1" s="1"/>
  <c r="BG121" i="1"/>
  <c r="AY110" i="1"/>
  <c r="AX110" i="1"/>
  <c r="AX104" i="1" s="1"/>
  <c r="AV110" i="1"/>
  <c r="AV104" i="1" s="1"/>
  <c r="BR104" i="1" s="1"/>
  <c r="BP87" i="1"/>
  <c r="V98" i="1"/>
  <c r="BM90" i="1"/>
  <c r="AW90" i="1"/>
  <c r="BV90" i="1"/>
  <c r="BR90" i="1"/>
  <c r="BG90" i="1"/>
  <c r="AI88" i="1"/>
  <c r="AO89" i="1"/>
  <c r="AM89" i="1"/>
  <c r="BV49" i="1"/>
  <c r="AJ48" i="1"/>
  <c r="AJ2" i="1" s="1"/>
  <c r="AN4" i="1"/>
  <c r="AM4" i="1"/>
  <c r="AB340" i="1"/>
  <c r="AX340" i="1"/>
  <c r="AX339" i="1" s="1"/>
  <c r="AX334" i="1" s="1"/>
  <c r="AX333" i="1" s="1"/>
  <c r="AX322" i="1" s="1"/>
  <c r="AA340" i="1"/>
  <c r="AO340" i="1" s="1"/>
  <c r="AQ340" i="1" s="1"/>
  <c r="AS340" i="1" s="1"/>
  <c r="AW340" i="1"/>
  <c r="AW339" i="1" s="1"/>
  <c r="AW334" i="1" s="1"/>
  <c r="AW333" i="1" s="1"/>
  <c r="AN340" i="1"/>
  <c r="AP340" i="1" s="1"/>
  <c r="AR340" i="1" s="1"/>
  <c r="O322" i="1"/>
  <c r="V322" i="1" s="1"/>
  <c r="BJ287" i="1"/>
  <c r="BJ285" i="1" s="1"/>
  <c r="BJ284" i="1" s="1"/>
  <c r="BJ280" i="1" s="1"/>
  <c r="BI287" i="1"/>
  <c r="AM286" i="1"/>
  <c r="AT286" i="1" s="1"/>
  <c r="AL285" i="1"/>
  <c r="AN286" i="1"/>
  <c r="AV286" i="1" s="1"/>
  <c r="BV264" i="1"/>
  <c r="BQ291" i="1"/>
  <c r="V238" i="1"/>
  <c r="T238" i="1"/>
  <c r="U238" i="1"/>
  <c r="S237" i="1"/>
  <c r="BR237" i="1"/>
  <c r="V223" i="1"/>
  <c r="O222" i="1"/>
  <c r="BV209" i="1"/>
  <c r="BL209" i="1"/>
  <c r="BG197" i="1"/>
  <c r="BG196" i="1" s="1"/>
  <c r="AX197" i="1"/>
  <c r="AX196" i="1" s="1"/>
  <c r="BI150" i="1"/>
  <c r="AW190" i="1"/>
  <c r="BG190" i="1"/>
  <c r="BR190" i="1"/>
  <c r="BM190" i="1"/>
  <c r="X158" i="1"/>
  <c r="Y158" i="1" s="1"/>
  <c r="Y159" i="1"/>
  <c r="AA149" i="1"/>
  <c r="AA148" i="1" s="1"/>
  <c r="AO159" i="1"/>
  <c r="AI158" i="1"/>
  <c r="AO158" i="1" s="1"/>
  <c r="BI118" i="1"/>
  <c r="BJ118" i="1"/>
  <c r="BJ116" i="1" s="1"/>
  <c r="BH118" i="1"/>
  <c r="AX165" i="1"/>
  <c r="AY165" i="1"/>
  <c r="AV165" i="1"/>
  <c r="BV165" i="1" s="1"/>
  <c r="AM149" i="1"/>
  <c r="AL148" i="1"/>
  <c r="AN149" i="1"/>
  <c r="BI121" i="1"/>
  <c r="BI119" i="1" s="1"/>
  <c r="AT104" i="1"/>
  <c r="AT88" i="1" s="1"/>
  <c r="AT87" i="1" s="1"/>
  <c r="AT86" i="1" s="1"/>
  <c r="X112" i="1"/>
  <c r="Y112" i="1" s="1"/>
  <c r="Y122" i="1"/>
  <c r="AN104" i="1"/>
  <c r="AM104" i="1"/>
  <c r="BG166" i="1"/>
  <c r="BR166" i="1"/>
  <c r="BM166" i="1"/>
  <c r="BI166" i="1"/>
  <c r="AW166" i="1"/>
  <c r="V119" i="1"/>
  <c r="T119" i="1"/>
  <c r="U119" i="1"/>
  <c r="BV121" i="1"/>
  <c r="U89" i="1"/>
  <c r="T89" i="1"/>
  <c r="S88" i="1"/>
  <c r="BJ111" i="1"/>
  <c r="BJ104" i="1" s="1"/>
  <c r="BI111" i="1"/>
  <c r="BH111" i="1"/>
  <c r="AL88" i="1"/>
  <c r="BM79" i="1"/>
  <c r="AB97" i="1"/>
  <c r="BV60" i="1"/>
  <c r="Y49" i="1"/>
  <c r="AV25" i="1"/>
  <c r="P18" i="1"/>
  <c r="P17" i="1" s="1"/>
  <c r="Q2" i="1"/>
  <c r="Q321" i="1" s="1"/>
  <c r="Q346" i="1" s="1"/>
  <c r="Q352" i="1" s="1"/>
  <c r="L321" i="1"/>
  <c r="L346" i="1" s="1"/>
  <c r="L352" i="1" s="1"/>
  <c r="U322" i="1"/>
  <c r="AV290" i="1"/>
  <c r="BR291" i="1"/>
  <c r="BV241" i="1"/>
  <c r="BL241" i="1"/>
  <c r="BJ213" i="1"/>
  <c r="BI213" i="1"/>
  <c r="BH213" i="1"/>
  <c r="BH207" i="1" s="1"/>
  <c r="Z206" i="1"/>
  <c r="AN206" i="1" s="1"/>
  <c r="AN207" i="1"/>
  <c r="Y238" i="1"/>
  <c r="X237" i="1"/>
  <c r="T149" i="1"/>
  <c r="T148" i="1" s="1"/>
  <c r="T131" i="1" s="1"/>
  <c r="BV185" i="1"/>
  <c r="BK185" i="1"/>
  <c r="BH180" i="1"/>
  <c r="BG157" i="1"/>
  <c r="AW157" i="1"/>
  <c r="BR157" i="1"/>
  <c r="BI157" i="1"/>
  <c r="BM157" i="1"/>
  <c r="AN223" i="1"/>
  <c r="AL222" i="1"/>
  <c r="AM223" i="1"/>
  <c r="BQ138" i="1"/>
  <c r="BM138" i="1"/>
  <c r="BL138" i="1"/>
  <c r="BK133" i="1"/>
  <c r="BV164" i="1"/>
  <c r="BL164" i="1"/>
  <c r="BJ141" i="1"/>
  <c r="BJ133" i="1" s="1"/>
  <c r="BJ132" i="1" s="1"/>
  <c r="BI141" i="1"/>
  <c r="BF133" i="1"/>
  <c r="BF132" i="1" s="1"/>
  <c r="BH141" i="1"/>
  <c r="BM105" i="1"/>
  <c r="AV119" i="1"/>
  <c r="BR119" i="1" s="1"/>
  <c r="V171" i="1"/>
  <c r="V170" i="1" s="1"/>
  <c r="V169" i="1" s="1"/>
  <c r="O170" i="1"/>
  <c r="O169" i="1" s="1"/>
  <c r="BV119" i="1"/>
  <c r="AB89" i="1"/>
  <c r="AB88" i="1" s="1"/>
  <c r="AB87" i="1" s="1"/>
  <c r="T79" i="1"/>
  <c r="V79" i="1"/>
  <c r="U79" i="1"/>
  <c r="BR57" i="1"/>
  <c r="BQ57" i="1"/>
  <c r="V67" i="1"/>
  <c r="T67" i="1"/>
  <c r="U67" i="1"/>
  <c r="Y60" i="1"/>
  <c r="X59" i="1"/>
  <c r="AN18" i="1"/>
  <c r="AM18" i="1"/>
  <c r="AL17" i="1"/>
  <c r="AL34" i="1"/>
  <c r="AN35" i="1"/>
  <c r="AM35" i="1"/>
  <c r="BG25" i="1"/>
  <c r="BG24" i="1" s="1"/>
  <c r="O8" i="1"/>
  <c r="O4" i="1" s="1"/>
  <c r="BL309" i="1"/>
  <c r="BV309" i="1"/>
  <c r="BV315" i="1"/>
  <c r="BL315" i="1"/>
  <c r="AN308" i="1"/>
  <c r="AM308" i="1"/>
  <c r="BP299" i="1"/>
  <c r="BG295" i="1"/>
  <c r="BG291" i="1" s="1"/>
  <c r="BG290" i="1" s="1"/>
  <c r="BE291" i="1"/>
  <c r="BE290" i="1" s="1"/>
  <c r="BE280" i="1" s="1"/>
  <c r="BE86" i="1" s="1"/>
  <c r="BE321" i="1" s="1"/>
  <c r="BE346" i="1" s="1"/>
  <c r="BE352" i="1" s="1"/>
  <c r="BG265" i="1"/>
  <c r="AW265" i="1"/>
  <c r="BR265" i="1"/>
  <c r="BM265" i="1"/>
  <c r="BI265" i="1"/>
  <c r="V227" i="1"/>
  <c r="U227" i="1"/>
  <c r="T227" i="1"/>
  <c r="S226" i="1"/>
  <c r="Y227" i="1"/>
  <c r="BJ211" i="1"/>
  <c r="BJ207" i="1" s="1"/>
  <c r="BJ206" i="1" s="1"/>
  <c r="BI211" i="1"/>
  <c r="BH211" i="1"/>
  <c r="AV259" i="1"/>
  <c r="BR259" i="1" s="1"/>
  <c r="BI135" i="1"/>
  <c r="AW135" i="1"/>
  <c r="BV135" i="1"/>
  <c r="BR135" i="1"/>
  <c r="BM135" i="1"/>
  <c r="BI116" i="1"/>
  <c r="P136" i="1"/>
  <c r="P133" i="1" s="1"/>
  <c r="P132" i="1" s="1"/>
  <c r="N133" i="1"/>
  <c r="N132" i="1" s="1"/>
  <c r="N131" i="1" s="1"/>
  <c r="AW125" i="1"/>
  <c r="BI177" i="1"/>
  <c r="BG177" i="1"/>
  <c r="AW177" i="1"/>
  <c r="BV177" i="1"/>
  <c r="BR177" i="1"/>
  <c r="BM177" i="1"/>
  <c r="BG119" i="1"/>
  <c r="P159" i="1"/>
  <c r="P158" i="1" s="1"/>
  <c r="AN112" i="1"/>
  <c r="AM112" i="1"/>
  <c r="AN79" i="1"/>
  <c r="AM79" i="1"/>
  <c r="AW92" i="1"/>
  <c r="BI92" i="1"/>
  <c r="BR92" i="1"/>
  <c r="BM92" i="1"/>
  <c r="BG92" i="1"/>
  <c r="BI124" i="1"/>
  <c r="BI122" i="1" s="1"/>
  <c r="BH124" i="1"/>
  <c r="BH122" i="1" s="1"/>
  <c r="BV122" i="1" s="1"/>
  <c r="BJ124" i="1"/>
  <c r="BD87" i="1"/>
  <c r="BD86" i="1" s="1"/>
  <c r="BD321" i="1" s="1"/>
  <c r="BD346" i="1" s="1"/>
  <c r="BD352" i="1" s="1"/>
  <c r="O104" i="1"/>
  <c r="V104" i="1" s="1"/>
  <c r="Y79" i="1"/>
  <c r="AO25" i="1"/>
  <c r="AI24" i="1"/>
  <c r="AO24" i="1" s="1"/>
  <c r="AO35" i="1"/>
  <c r="AI34" i="1"/>
  <c r="AO34" i="1" s="1"/>
  <c r="BG21" i="1"/>
  <c r="AW21" i="1"/>
  <c r="BM21" i="1"/>
  <c r="BV21" i="1"/>
  <c r="BR21" i="1"/>
  <c r="BI21" i="1"/>
  <c r="AM14" i="1"/>
  <c r="AN14" i="1"/>
  <c r="AL13" i="1"/>
  <c r="AM25" i="1"/>
  <c r="O48" i="1"/>
  <c r="Y4" i="1"/>
  <c r="BV327" i="1"/>
  <c r="AN339" i="1"/>
  <c r="AP339" i="1" s="1"/>
  <c r="AR339" i="1" s="1"/>
  <c r="Y312" i="1"/>
  <c r="X308" i="1"/>
  <c r="Y308" i="1" s="1"/>
  <c r="BI275" i="1"/>
  <c r="BG275" i="1"/>
  <c r="AW275" i="1"/>
  <c r="BV275" i="1"/>
  <c r="BR275" i="1"/>
  <c r="BM275" i="1"/>
  <c r="AP341" i="1"/>
  <c r="AR341" i="1" s="1"/>
  <c r="BG315" i="1"/>
  <c r="AW315" i="1"/>
  <c r="AW308" i="1" s="1"/>
  <c r="AW300" i="1" s="1"/>
  <c r="AW299" i="1" s="1"/>
  <c r="BR315" i="1"/>
  <c r="BM315" i="1"/>
  <c r="BJ239" i="1"/>
  <c r="BI239" i="1"/>
  <c r="BI238" i="1" s="1"/>
  <c r="BI237" i="1" s="1"/>
  <c r="BI222" i="1" s="1"/>
  <c r="BH239" i="1"/>
  <c r="BF238" i="1"/>
  <c r="BF237" i="1" s="1"/>
  <c r="Y250" i="1"/>
  <c r="N251" i="1"/>
  <c r="N250" i="1" s="1"/>
  <c r="X207" i="1"/>
  <c r="Y208" i="1"/>
  <c r="BV183" i="1"/>
  <c r="AI237" i="1"/>
  <c r="AO238" i="1"/>
  <c r="AO197" i="1"/>
  <c r="BV157" i="1"/>
  <c r="BG150" i="1"/>
  <c r="T159" i="1"/>
  <c r="T158" i="1" s="1"/>
  <c r="BR162" i="1"/>
  <c r="BM162" i="1"/>
  <c r="BG162" i="1"/>
  <c r="AW162" i="1"/>
  <c r="BV162" i="1"/>
  <c r="V181" i="1"/>
  <c r="O180" i="1"/>
  <c r="O179" i="1" s="1"/>
  <c r="BH125" i="1"/>
  <c r="BV125" i="1" s="1"/>
  <c r="BP131" i="1"/>
  <c r="AM97" i="1"/>
  <c r="AN97" i="1"/>
  <c r="BV123" i="1"/>
  <c r="BK123" i="1"/>
  <c r="P104" i="1"/>
  <c r="BQ50" i="1"/>
  <c r="AX25" i="1"/>
  <c r="AX24" i="1" s="1"/>
  <c r="Y30" i="1"/>
  <c r="AW30" i="1"/>
  <c r="U35" i="1"/>
  <c r="S34" i="1"/>
  <c r="V35" i="1"/>
  <c r="T35" i="1"/>
  <c r="Y35" i="1"/>
  <c r="BQ24" i="1"/>
  <c r="BO321" i="1"/>
  <c r="BO346" i="1" s="1"/>
  <c r="BO352" i="1" s="1"/>
  <c r="Y8" i="1"/>
  <c r="AM349" i="1"/>
  <c r="AI348" i="1"/>
  <c r="AO349" i="1"/>
  <c r="AL333" i="1"/>
  <c r="AN334" i="1"/>
  <c r="AP334" i="1" s="1"/>
  <c r="AR334" i="1" s="1"/>
  <c r="AM334" i="1"/>
  <c r="AO334" i="1" s="1"/>
  <c r="AQ334" i="1" s="1"/>
  <c r="AS334" i="1" s="1"/>
  <c r="U308" i="1"/>
  <c r="T308" i="1"/>
  <c r="V308" i="1"/>
  <c r="V311" i="1"/>
  <c r="O308" i="1"/>
  <c r="AM289" i="1"/>
  <c r="AT289" i="1" s="1"/>
  <c r="BB289" i="1" s="1"/>
  <c r="AN289" i="1"/>
  <c r="AV289" i="1" s="1"/>
  <c r="AN226" i="1"/>
  <c r="AM226" i="1"/>
  <c r="AX228" i="1"/>
  <c r="AX227" i="1" s="1"/>
  <c r="AX226" i="1" s="1"/>
  <c r="AX222" i="1" s="1"/>
  <c r="AT227" i="1"/>
  <c r="AT226" i="1" s="1"/>
  <c r="AT222" i="1" s="1"/>
  <c r="AY228" i="1"/>
  <c r="AY227" i="1" s="1"/>
  <c r="AY226" i="1" s="1"/>
  <c r="AY222" i="1" s="1"/>
  <c r="BM189" i="1"/>
  <c r="BQ189" i="1"/>
  <c r="BL189" i="1"/>
  <c r="BR201" i="1"/>
  <c r="AW201" i="1"/>
  <c r="AW197" i="1" s="1"/>
  <c r="AW196" i="1" s="1"/>
  <c r="BG201" i="1"/>
  <c r="BF201" i="1"/>
  <c r="BF197" i="1" s="1"/>
  <c r="BF196" i="1" s="1"/>
  <c r="AY176" i="1"/>
  <c r="AV176" i="1"/>
  <c r="AX176" i="1"/>
  <c r="AH238" i="1"/>
  <c r="AH237" i="1" s="1"/>
  <c r="AH222" i="1" s="1"/>
  <c r="BH170" i="1"/>
  <c r="BL175" i="1"/>
  <c r="BV175" i="1"/>
  <c r="AE150" i="1"/>
  <c r="AE149" i="1" s="1"/>
  <c r="AE148" i="1" s="1"/>
  <c r="AE131" i="1" s="1"/>
  <c r="AD149" i="1"/>
  <c r="AD148" i="1" s="1"/>
  <c r="AD131" i="1" s="1"/>
  <c r="Y223" i="1"/>
  <c r="X222" i="1"/>
  <c r="V159" i="1"/>
  <c r="V158" i="1" s="1"/>
  <c r="AU131" i="1"/>
  <c r="AU86" i="1" s="1"/>
  <c r="Y170" i="1"/>
  <c r="X169" i="1"/>
  <c r="Y169" i="1" s="1"/>
  <c r="BG118" i="1"/>
  <c r="BG116" i="1" s="1"/>
  <c r="BG112" i="1" s="1"/>
  <c r="BR118" i="1"/>
  <c r="AW118" i="1"/>
  <c r="BV182" i="1"/>
  <c r="BI182" i="1"/>
  <c r="AW182" i="1"/>
  <c r="BM182" i="1"/>
  <c r="BR182" i="1"/>
  <c r="BG182" i="1"/>
  <c r="AV180" i="1"/>
  <c r="BI184" i="1"/>
  <c r="AW184" i="1"/>
  <c r="BR184" i="1"/>
  <c r="BG184" i="1"/>
  <c r="BV184" i="1"/>
  <c r="BM184" i="1"/>
  <c r="AV103" i="1"/>
  <c r="AY103" i="1"/>
  <c r="AX103" i="1"/>
  <c r="P99" i="1"/>
  <c r="P97" i="1" s="1"/>
  <c r="O99" i="1"/>
  <c r="V99" i="1" s="1"/>
  <c r="BI90" i="1"/>
  <c r="BJ122" i="1"/>
  <c r="U30" i="1"/>
  <c r="V30" i="1"/>
  <c r="T30" i="1"/>
  <c r="BG79" i="1"/>
  <c r="AX95" i="1"/>
  <c r="AX89" i="1" s="1"/>
  <c r="AX88" i="1" s="1"/>
  <c r="AX87" i="1" s="1"/>
  <c r="AY95" i="1"/>
  <c r="AV95" i="1"/>
  <c r="AV18" i="1"/>
  <c r="AO13" i="1"/>
  <c r="Z3" i="1"/>
  <c r="Z2" i="1" s="1"/>
  <c r="Y25" i="1"/>
  <c r="X24" i="1"/>
  <c r="X3" i="1" s="1"/>
  <c r="AN24" i="1"/>
  <c r="AW50" i="1"/>
  <c r="AW49" i="1" s="1"/>
  <c r="BR30" i="1"/>
  <c r="BG18" i="1" l="1"/>
  <c r="BG17" i="1" s="1"/>
  <c r="BG3" i="1" s="1"/>
  <c r="BH206" i="1"/>
  <c r="BV206" i="1" s="1"/>
  <c r="BV207" i="1"/>
  <c r="BJ131" i="1"/>
  <c r="BL133" i="1"/>
  <c r="BL132" i="1" s="1"/>
  <c r="BR290" i="1"/>
  <c r="BV290" i="1"/>
  <c r="BV200" i="1"/>
  <c r="BK200" i="1"/>
  <c r="AV148" i="1"/>
  <c r="BR148" i="1" s="1"/>
  <c r="BR149" i="1"/>
  <c r="AJ95" i="1"/>
  <c r="AJ89" i="1" s="1"/>
  <c r="AJ88" i="1" s="1"/>
  <c r="AJ87" i="1" s="1"/>
  <c r="AJ86" i="1" s="1"/>
  <c r="AJ321" i="1" s="1"/>
  <c r="AJ346" i="1" s="1"/>
  <c r="AJ352" i="1" s="1"/>
  <c r="AH89" i="1"/>
  <c r="AH88" i="1" s="1"/>
  <c r="AH87" i="1" s="1"/>
  <c r="AH86" i="1" s="1"/>
  <c r="AH321" i="1" s="1"/>
  <c r="AH346" i="1" s="1"/>
  <c r="AH352" i="1" s="1"/>
  <c r="O300" i="1"/>
  <c r="V301" i="1"/>
  <c r="AW112" i="1"/>
  <c r="BV223" i="1"/>
  <c r="BQ123" i="1"/>
  <c r="BM123" i="1"/>
  <c r="BL123" i="1"/>
  <c r="BK122" i="1"/>
  <c r="BQ122" i="1" s="1"/>
  <c r="P131" i="1"/>
  <c r="BK211" i="1"/>
  <c r="BV211" i="1"/>
  <c r="AN34" i="1"/>
  <c r="AM34" i="1"/>
  <c r="BL141" i="1"/>
  <c r="BV141" i="1"/>
  <c r="BH133" i="1"/>
  <c r="AN222" i="1"/>
  <c r="Y237" i="1"/>
  <c r="T322" i="1"/>
  <c r="BK118" i="1"/>
  <c r="BV118" i="1"/>
  <c r="BI149" i="1"/>
  <c r="BI148" i="1" s="1"/>
  <c r="O97" i="1"/>
  <c r="V97" i="1" s="1"/>
  <c r="AX159" i="1"/>
  <c r="AX158" i="1" s="1"/>
  <c r="AN59" i="1"/>
  <c r="AM59" i="1"/>
  <c r="BM117" i="1"/>
  <c r="BL117" i="1"/>
  <c r="BQ117" i="1"/>
  <c r="BM149" i="1"/>
  <c r="BM148" i="1" s="1"/>
  <c r="V92" i="1"/>
  <c r="O89" i="1"/>
  <c r="BR78" i="1"/>
  <c r="AW78" i="1"/>
  <c r="BG78" i="1"/>
  <c r="BF78" i="1"/>
  <c r="AV112" i="1"/>
  <c r="BR112" i="1" s="1"/>
  <c r="AO237" i="1"/>
  <c r="AM237" i="1"/>
  <c r="AI222" i="1"/>
  <c r="AO222" i="1" s="1"/>
  <c r="V237" i="1"/>
  <c r="U237" i="1"/>
  <c r="T237" i="1"/>
  <c r="N86" i="1"/>
  <c r="BR222" i="1"/>
  <c r="AM24" i="1"/>
  <c r="BI112" i="1"/>
  <c r="BI207" i="1"/>
  <c r="BI206" i="1" s="1"/>
  <c r="AN17" i="1"/>
  <c r="AM17" i="1"/>
  <c r="BF131" i="1"/>
  <c r="BJ112" i="1"/>
  <c r="BJ87" i="1" s="1"/>
  <c r="BJ86" i="1" s="1"/>
  <c r="AY159" i="1"/>
  <c r="AY158" i="1" s="1"/>
  <c r="AY131" i="1" s="1"/>
  <c r="BV240" i="1"/>
  <c r="BK240" i="1"/>
  <c r="V48" i="1"/>
  <c r="U48" i="1"/>
  <c r="T48" i="1"/>
  <c r="P88" i="1"/>
  <c r="P87" i="1" s="1"/>
  <c r="P86" i="1" s="1"/>
  <c r="BK167" i="1"/>
  <c r="BV167" i="1"/>
  <c r="AA131" i="1"/>
  <c r="AA86" i="1" s="1"/>
  <c r="AA321" i="1" s="1"/>
  <c r="AA346" i="1" s="1"/>
  <c r="AA352" i="1" s="1"/>
  <c r="Y24" i="1"/>
  <c r="BV170" i="1"/>
  <c r="BH169" i="1"/>
  <c r="X206" i="1"/>
  <c r="Y206" i="1" s="1"/>
  <c r="Y207" i="1"/>
  <c r="BV124" i="1"/>
  <c r="BK124" i="1"/>
  <c r="AV159" i="1"/>
  <c r="BV160" i="1"/>
  <c r="BG160" i="1"/>
  <c r="AW160" i="1"/>
  <c r="BR160" i="1"/>
  <c r="BM160" i="1"/>
  <c r="BI160" i="1"/>
  <c r="BI159" i="1" s="1"/>
  <c r="BI158" i="1" s="1"/>
  <c r="BI131" i="1" s="1"/>
  <c r="AU321" i="1"/>
  <c r="AU346" i="1" s="1"/>
  <c r="AU352" i="1" s="1"/>
  <c r="BH112" i="1"/>
  <c r="BV116" i="1"/>
  <c r="BM133" i="1"/>
  <c r="BM132" i="1" s="1"/>
  <c r="S131" i="1"/>
  <c r="P259" i="1"/>
  <c r="P251" i="1" s="1"/>
  <c r="P250" i="1" s="1"/>
  <c r="BH250" i="1"/>
  <c r="AO4" i="1"/>
  <c r="AI3" i="1"/>
  <c r="AV67" i="1"/>
  <c r="BR67" i="1" s="1"/>
  <c r="BL242" i="1"/>
  <c r="BV242" i="1"/>
  <c r="AM323" i="1"/>
  <c r="AN323" i="1"/>
  <c r="AL322" i="1"/>
  <c r="BP86" i="1"/>
  <c r="AW149" i="1"/>
  <c r="AW148" i="1" s="1"/>
  <c r="AV132" i="1"/>
  <c r="BR133" i="1"/>
  <c r="BH148" i="1"/>
  <c r="BV148" i="1" s="1"/>
  <c r="BV149" i="1"/>
  <c r="BV259" i="1"/>
  <c r="AN158" i="1"/>
  <c r="AM158" i="1"/>
  <c r="AY97" i="1"/>
  <c r="AY88" i="1" s="1"/>
  <c r="AY87" i="1" s="1"/>
  <c r="AY86" i="1" s="1"/>
  <c r="AB86" i="1"/>
  <c r="AB321" i="1" s="1"/>
  <c r="AB346" i="1" s="1"/>
  <c r="AB352" i="1" s="1"/>
  <c r="AN88" i="1"/>
  <c r="AL87" i="1"/>
  <c r="AM88" i="1"/>
  <c r="AO148" i="1"/>
  <c r="AI131" i="1"/>
  <c r="AN169" i="1"/>
  <c r="AM169" i="1"/>
  <c r="AT321" i="1"/>
  <c r="AT346" i="1" s="1"/>
  <c r="AT352" i="1" s="1"/>
  <c r="V24" i="1"/>
  <c r="T24" i="1"/>
  <c r="U24" i="1"/>
  <c r="AV281" i="1"/>
  <c r="BR282" i="1"/>
  <c r="BV282" i="1"/>
  <c r="AW94" i="1"/>
  <c r="AW89" i="1" s="1"/>
  <c r="BR94" i="1"/>
  <c r="BM94" i="1"/>
  <c r="BM89" i="1" s="1"/>
  <c r="BI94" i="1"/>
  <c r="BG94" i="1"/>
  <c r="BG89" i="1" s="1"/>
  <c r="BG88" i="1" s="1"/>
  <c r="BG87" i="1" s="1"/>
  <c r="BV94" i="1"/>
  <c r="BR102" i="1"/>
  <c r="BM102" i="1"/>
  <c r="BG102" i="1"/>
  <c r="BG97" i="1" s="1"/>
  <c r="BI102" i="1"/>
  <c r="AW102" i="1"/>
  <c r="BV102" i="1"/>
  <c r="AV97" i="1"/>
  <c r="P3" i="1"/>
  <c r="P2" i="1" s="1"/>
  <c r="AO206" i="1"/>
  <c r="AM206" i="1"/>
  <c r="BK213" i="1"/>
  <c r="BV213" i="1"/>
  <c r="BI89" i="1"/>
  <c r="AN13" i="1"/>
  <c r="AM13" i="1"/>
  <c r="U226" i="1"/>
  <c r="T226" i="1"/>
  <c r="V226" i="1"/>
  <c r="Y226" i="1"/>
  <c r="S222" i="1"/>
  <c r="O3" i="1"/>
  <c r="O2" i="1" s="1"/>
  <c r="BV111" i="1"/>
  <c r="BL111" i="1"/>
  <c r="BL104" i="1" s="1"/>
  <c r="AO88" i="1"/>
  <c r="AI87" i="1"/>
  <c r="AW110" i="1"/>
  <c r="AW104" i="1" s="1"/>
  <c r="BR110" i="1"/>
  <c r="BM110" i="1"/>
  <c r="BI110" i="1"/>
  <c r="BI104" i="1" s="1"/>
  <c r="BG110" i="1"/>
  <c r="BG104" i="1" s="1"/>
  <c r="AJ131" i="1"/>
  <c r="O17" i="1"/>
  <c r="V17" i="1" s="1"/>
  <c r="V18" i="1"/>
  <c r="BH234" i="1"/>
  <c r="BV234" i="1" s="1"/>
  <c r="BV235" i="1"/>
  <c r="N2" i="1"/>
  <c r="N321" i="1" s="1"/>
  <c r="N346" i="1" s="1"/>
  <c r="N352" i="1" s="1"/>
  <c r="BV93" i="1"/>
  <c r="BL93" i="1"/>
  <c r="BL89" i="1" s="1"/>
  <c r="BH89" i="1"/>
  <c r="BL243" i="1"/>
  <c r="BV243" i="1"/>
  <c r="U34" i="1"/>
  <c r="V34" i="1"/>
  <c r="T34" i="1"/>
  <c r="Y34" i="1"/>
  <c r="AV179" i="1"/>
  <c r="BR179" i="1" s="1"/>
  <c r="BR180" i="1"/>
  <c r="BR176" i="1"/>
  <c r="BM176" i="1"/>
  <c r="BG176" i="1"/>
  <c r="AW176" i="1"/>
  <c r="BI176" i="1"/>
  <c r="BV176" i="1"/>
  <c r="BC286" i="1"/>
  <c r="BV286" i="1"/>
  <c r="BR286" i="1"/>
  <c r="AV285" i="1"/>
  <c r="BI286" i="1"/>
  <c r="BI285" i="1" s="1"/>
  <c r="BI284" i="1" s="1"/>
  <c r="BI280" i="1" s="1"/>
  <c r="BG286" i="1"/>
  <c r="BR18" i="1"/>
  <c r="AV17" i="1"/>
  <c r="BV18" i="1"/>
  <c r="AI347" i="1"/>
  <c r="AO348" i="1"/>
  <c r="AM348" i="1"/>
  <c r="BG149" i="1"/>
  <c r="BG148" i="1" s="1"/>
  <c r="BH238" i="1"/>
  <c r="BV239" i="1"/>
  <c r="BL239" i="1"/>
  <c r="Y59" i="1"/>
  <c r="X48" i="1"/>
  <c r="Y48" i="1" s="1"/>
  <c r="BQ133" i="1"/>
  <c r="BK132" i="1"/>
  <c r="AN148" i="1"/>
  <c r="AM148" i="1"/>
  <c r="AM285" i="1"/>
  <c r="AL284" i="1"/>
  <c r="AN285" i="1"/>
  <c r="AL3" i="1"/>
  <c r="AW133" i="1"/>
  <c r="AW132" i="1" s="1"/>
  <c r="BG171" i="1"/>
  <c r="AW171" i="1"/>
  <c r="BR171" i="1"/>
  <c r="BM171" i="1"/>
  <c r="BI171" i="1"/>
  <c r="BI170" i="1" s="1"/>
  <c r="BI169" i="1" s="1"/>
  <c r="AV170" i="1"/>
  <c r="BV171" i="1"/>
  <c r="AI322" i="1"/>
  <c r="AO322" i="1" s="1"/>
  <c r="AO323" i="1"/>
  <c r="AO59" i="1"/>
  <c r="AI48" i="1"/>
  <c r="AO48" i="1" s="1"/>
  <c r="BL119" i="1"/>
  <c r="BM161" i="1"/>
  <c r="AW161" i="1"/>
  <c r="BR161" i="1"/>
  <c r="BI161" i="1"/>
  <c r="BG161" i="1"/>
  <c r="BV161" i="1"/>
  <c r="BV301" i="1"/>
  <c r="BH347" i="1"/>
  <c r="BV347" i="1" s="1"/>
  <c r="BV348" i="1"/>
  <c r="V4" i="1"/>
  <c r="U4" i="1"/>
  <c r="T4" i="1"/>
  <c r="S3" i="1"/>
  <c r="BG22" i="1"/>
  <c r="BR22" i="1"/>
  <c r="BM22" i="1"/>
  <c r="BM18" i="1" s="1"/>
  <c r="BM17" i="1" s="1"/>
  <c r="BM3" i="1" s="1"/>
  <c r="AW22" i="1"/>
  <c r="AW18" i="1" s="1"/>
  <c r="AW17" i="1" s="1"/>
  <c r="AW3" i="1" s="1"/>
  <c r="BI22" i="1"/>
  <c r="BV22" i="1"/>
  <c r="AV3" i="1"/>
  <c r="BV4" i="1"/>
  <c r="BR4" i="1"/>
  <c r="BV71" i="1"/>
  <c r="BR71" i="1"/>
  <c r="BG71" i="1"/>
  <c r="BG67" i="1" s="1"/>
  <c r="BG59" i="1" s="1"/>
  <c r="BG48" i="1" s="1"/>
  <c r="BM71" i="1"/>
  <c r="AW71" i="1"/>
  <c r="BI71" i="1"/>
  <c r="AN333" i="1"/>
  <c r="AP333" i="1" s="1"/>
  <c r="AM333" i="1"/>
  <c r="AO333" i="1" s="1"/>
  <c r="AQ333" i="1" s="1"/>
  <c r="AS333" i="1" s="1"/>
  <c r="AW95" i="1"/>
  <c r="BR95" i="1"/>
  <c r="BM95" i="1"/>
  <c r="BI95" i="1"/>
  <c r="BG95" i="1"/>
  <c r="BV95" i="1"/>
  <c r="BJ201" i="1"/>
  <c r="BJ197" i="1" s="1"/>
  <c r="BJ196" i="1" s="1"/>
  <c r="BI201" i="1"/>
  <c r="BI197" i="1" s="1"/>
  <c r="BI196" i="1" s="1"/>
  <c r="BH201" i="1"/>
  <c r="BC289" i="1"/>
  <c r="BV289" i="1"/>
  <c r="BR289" i="1"/>
  <c r="BG289" i="1"/>
  <c r="BI289" i="1"/>
  <c r="BB286" i="1"/>
  <c r="BB285" i="1" s="1"/>
  <c r="BB284" i="1" s="1"/>
  <c r="BB280" i="1" s="1"/>
  <c r="BB86" i="1" s="1"/>
  <c r="BB321" i="1" s="1"/>
  <c r="BB346" i="1" s="1"/>
  <c r="BB352" i="1" s="1"/>
  <c r="AT285" i="1"/>
  <c r="AT284" i="1" s="1"/>
  <c r="V348" i="1"/>
  <c r="U348" i="1"/>
  <c r="S347" i="1"/>
  <c r="T348" i="1"/>
  <c r="Y348" i="1"/>
  <c r="Y179" i="1"/>
  <c r="BH79" i="1"/>
  <c r="BV79" i="1" s="1"/>
  <c r="BV81" i="1"/>
  <c r="BL81" i="1"/>
  <c r="BL79" i="1" s="1"/>
  <c r="AV322" i="1"/>
  <c r="BR322" i="1" s="1"/>
  <c r="BR323" i="1"/>
  <c r="BV323" i="1"/>
  <c r="AN133" i="1"/>
  <c r="AM133" i="1"/>
  <c r="AL132" i="1"/>
  <c r="BP48" i="1"/>
  <c r="AN299" i="1"/>
  <c r="AM299" i="1"/>
  <c r="Y222" i="1"/>
  <c r="Z131" i="1"/>
  <c r="BJ238" i="1"/>
  <c r="BJ237" i="1" s="1"/>
  <c r="BJ222" i="1" s="1"/>
  <c r="BI18" i="1"/>
  <c r="BI17" i="1" s="1"/>
  <c r="BI3" i="1" s="1"/>
  <c r="BR300" i="1"/>
  <c r="BV180" i="1"/>
  <c r="BH179" i="1"/>
  <c r="AV24" i="1"/>
  <c r="BR25" i="1"/>
  <c r="BV25" i="1"/>
  <c r="V180" i="1"/>
  <c r="V179" i="1" s="1"/>
  <c r="V131" i="1" s="1"/>
  <c r="AN49" i="1"/>
  <c r="AM49" i="1"/>
  <c r="AL48" i="1"/>
  <c r="BG72" i="1"/>
  <c r="AW72" i="1"/>
  <c r="AW67" i="1" s="1"/>
  <c r="AW59" i="1" s="1"/>
  <c r="AW48" i="1" s="1"/>
  <c r="BV72" i="1"/>
  <c r="BR72" i="1"/>
  <c r="BM72" i="1"/>
  <c r="BI72" i="1"/>
  <c r="BV110" i="1"/>
  <c r="AX170" i="1"/>
  <c r="AX169" i="1" s="1"/>
  <c r="AE86" i="1"/>
  <c r="AE321" i="1" s="1"/>
  <c r="AE346" i="1" s="1"/>
  <c r="AE352" i="1" s="1"/>
  <c r="AE358" i="1" s="1"/>
  <c r="Y148" i="1"/>
  <c r="BF86" i="1"/>
  <c r="BL310" i="1"/>
  <c r="BV310" i="1"/>
  <c r="BH159" i="1"/>
  <c r="AW180" i="1"/>
  <c r="AW179" i="1" s="1"/>
  <c r="BR299" i="1"/>
  <c r="BM185" i="1"/>
  <c r="BM180" i="1" s="1"/>
  <c r="BM179" i="1" s="1"/>
  <c r="BQ185" i="1"/>
  <c r="BL185" i="1"/>
  <c r="BL180" i="1" s="1"/>
  <c r="BL179" i="1" s="1"/>
  <c r="BK180" i="1"/>
  <c r="U88" i="1"/>
  <c r="S87" i="1"/>
  <c r="T88" i="1"/>
  <c r="BG165" i="1"/>
  <c r="AW165" i="1"/>
  <c r="BM165" i="1"/>
  <c r="BR165" i="1"/>
  <c r="BI165" i="1"/>
  <c r="X299" i="1"/>
  <c r="Y299" i="1" s="1"/>
  <c r="Y300" i="1"/>
  <c r="BQ127" i="1"/>
  <c r="BM127" i="1"/>
  <c r="BM125" i="1" s="1"/>
  <c r="BL127" i="1"/>
  <c r="BL125" i="1" s="1"/>
  <c r="BK125" i="1"/>
  <c r="BQ125" i="1" s="1"/>
  <c r="V8" i="1"/>
  <c r="U299" i="1"/>
  <c r="T299" i="1"/>
  <c r="BH104" i="1"/>
  <c r="BV104" i="1" s="1"/>
  <c r="BR103" i="1"/>
  <c r="BM103" i="1"/>
  <c r="BG103" i="1"/>
  <c r="BV103" i="1"/>
  <c r="BI103" i="1"/>
  <c r="AW103" i="1"/>
  <c r="BI180" i="1"/>
  <c r="BI179" i="1" s="1"/>
  <c r="BM104" i="1"/>
  <c r="AV89" i="1"/>
  <c r="AY2" i="1"/>
  <c r="BI317" i="1"/>
  <c r="BI308" i="1" s="1"/>
  <c r="BI300" i="1" s="1"/>
  <c r="BI299" i="1" s="1"/>
  <c r="BH317" i="1"/>
  <c r="BJ317" i="1"/>
  <c r="BJ308" i="1" s="1"/>
  <c r="BJ300" i="1" s="1"/>
  <c r="BJ299" i="1" s="1"/>
  <c r="BF308" i="1"/>
  <c r="BF300" i="1" s="1"/>
  <c r="BF299" i="1" s="1"/>
  <c r="V280" i="1"/>
  <c r="U280" i="1"/>
  <c r="T280" i="1"/>
  <c r="Z88" i="1"/>
  <c r="Z87" i="1" s="1"/>
  <c r="AN89" i="1"/>
  <c r="AV251" i="1"/>
  <c r="BG73" i="1"/>
  <c r="BR73" i="1"/>
  <c r="BM73" i="1"/>
  <c r="AW73" i="1"/>
  <c r="BI73" i="1"/>
  <c r="X87" i="1"/>
  <c r="Y88" i="1"/>
  <c r="AW174" i="1"/>
  <c r="BR174" i="1"/>
  <c r="BM174" i="1"/>
  <c r="BI174" i="1"/>
  <c r="BG174" i="1"/>
  <c r="BV174" i="1"/>
  <c r="AW2" i="1" l="1"/>
  <c r="AV250" i="1"/>
  <c r="BR251" i="1"/>
  <c r="AV88" i="1"/>
  <c r="BR89" i="1"/>
  <c r="AN132" i="1"/>
  <c r="AM132" i="1"/>
  <c r="AL131" i="1"/>
  <c r="BM170" i="1"/>
  <c r="BM169" i="1" s="1"/>
  <c r="BL88" i="1"/>
  <c r="AO3" i="1"/>
  <c r="AI2" i="1"/>
  <c r="BM159" i="1"/>
  <c r="BM158" i="1" s="1"/>
  <c r="BR24" i="1"/>
  <c r="BV24" i="1"/>
  <c r="V347" i="1"/>
  <c r="U347" i="1"/>
  <c r="T347" i="1"/>
  <c r="Y347" i="1"/>
  <c r="BQ132" i="1"/>
  <c r="BR17" i="1"/>
  <c r="BV17" i="1"/>
  <c r="AW97" i="1"/>
  <c r="AW88" i="1" s="1"/>
  <c r="AW87" i="1" s="1"/>
  <c r="AW86" i="1" s="1"/>
  <c r="AO131" i="1"/>
  <c r="AX131" i="1"/>
  <c r="AX86" i="1" s="1"/>
  <c r="AX321" i="1" s="1"/>
  <c r="AX346" i="1" s="1"/>
  <c r="AX352" i="1" s="1"/>
  <c r="X2" i="1"/>
  <c r="BL200" i="1"/>
  <c r="BQ200" i="1"/>
  <c r="BM200" i="1"/>
  <c r="Z86" i="1"/>
  <c r="Z321" i="1" s="1"/>
  <c r="Z346" i="1" s="1"/>
  <c r="Z352" i="1" s="1"/>
  <c r="BV159" i="1"/>
  <c r="BH158" i="1"/>
  <c r="BV158" i="1" s="1"/>
  <c r="BV179" i="1"/>
  <c r="V3" i="1"/>
  <c r="U3" i="1"/>
  <c r="T3" i="1"/>
  <c r="S2" i="1"/>
  <c r="AW170" i="1"/>
  <c r="AW169" i="1" s="1"/>
  <c r="BI97" i="1"/>
  <c r="BI88" i="1" s="1"/>
  <c r="BI87" i="1" s="1"/>
  <c r="BI86" i="1" s="1"/>
  <c r="BV251" i="1"/>
  <c r="AW159" i="1"/>
  <c r="AW158" i="1" s="1"/>
  <c r="AW131" i="1" s="1"/>
  <c r="AV59" i="1"/>
  <c r="Y3" i="1"/>
  <c r="BP2" i="1"/>
  <c r="BV97" i="1"/>
  <c r="BR97" i="1"/>
  <c r="BG170" i="1"/>
  <c r="BG169" i="1" s="1"/>
  <c r="BG285" i="1"/>
  <c r="BG284" i="1" s="1"/>
  <c r="BG280" i="1" s="1"/>
  <c r="AO87" i="1"/>
  <c r="AI86" i="1"/>
  <c r="BR281" i="1"/>
  <c r="BV281" i="1"/>
  <c r="BV250" i="1"/>
  <c r="BG159" i="1"/>
  <c r="BG158" i="1" s="1"/>
  <c r="O299" i="1"/>
  <c r="V299" i="1" s="1"/>
  <c r="V300" i="1"/>
  <c r="BV133" i="1"/>
  <c r="BH132" i="1"/>
  <c r="BM97" i="1"/>
  <c r="BM88" i="1" s="1"/>
  <c r="O88" i="1"/>
  <c r="V89" i="1"/>
  <c r="BG2" i="1"/>
  <c r="Y87" i="1"/>
  <c r="U87" i="1"/>
  <c r="T87" i="1"/>
  <c r="S86" i="1"/>
  <c r="BL238" i="1"/>
  <c r="BL237" i="1" s="1"/>
  <c r="BL222" i="1" s="1"/>
  <c r="AV284" i="1"/>
  <c r="AV280" i="1" s="1"/>
  <c r="BR285" i="1"/>
  <c r="BV285" i="1"/>
  <c r="BV322" i="1"/>
  <c r="AN322" i="1"/>
  <c r="AM322" i="1"/>
  <c r="AV158" i="1"/>
  <c r="BR158" i="1" s="1"/>
  <c r="BR159" i="1"/>
  <c r="BM167" i="1"/>
  <c r="BL167" i="1"/>
  <c r="BL159" i="1" s="1"/>
  <c r="BL158" i="1" s="1"/>
  <c r="BQ167" i="1"/>
  <c r="BK159" i="1"/>
  <c r="BM211" i="1"/>
  <c r="BL211" i="1"/>
  <c r="BL207" i="1" s="1"/>
  <c r="BL206" i="1" s="1"/>
  <c r="BQ211" i="1"/>
  <c r="BK207" i="1"/>
  <c r="X131" i="1"/>
  <c r="Y131" i="1" s="1"/>
  <c r="AN87" i="1"/>
  <c r="AM87" i="1"/>
  <c r="AL86" i="1"/>
  <c r="BM124" i="1"/>
  <c r="BM122" i="1" s="1"/>
  <c r="BL124" i="1"/>
  <c r="BQ124" i="1"/>
  <c r="BQ118" i="1"/>
  <c r="BM118" i="1"/>
  <c r="BL118" i="1"/>
  <c r="BL116" i="1" s="1"/>
  <c r="BL112" i="1" s="1"/>
  <c r="BK179" i="1"/>
  <c r="BQ179" i="1" s="1"/>
  <c r="BQ180" i="1"/>
  <c r="AN48" i="1"/>
  <c r="AM48" i="1"/>
  <c r="BV3" i="1"/>
  <c r="BR3" i="1"/>
  <c r="AN3" i="1"/>
  <c r="AM3" i="1"/>
  <c r="AL2" i="1"/>
  <c r="BV238" i="1"/>
  <c r="BH237" i="1"/>
  <c r="BQ213" i="1"/>
  <c r="BM213" i="1"/>
  <c r="BL213" i="1"/>
  <c r="AO347" i="1"/>
  <c r="AM347" i="1"/>
  <c r="BK238" i="1"/>
  <c r="BM240" i="1"/>
  <c r="BM238" i="1" s="1"/>
  <c r="BM237" i="1" s="1"/>
  <c r="BM222" i="1" s="1"/>
  <c r="BL240" i="1"/>
  <c r="BQ240" i="1"/>
  <c r="BV317" i="1"/>
  <c r="BK317" i="1"/>
  <c r="BH308" i="1"/>
  <c r="BC285" i="1"/>
  <c r="BC284" i="1" s="1"/>
  <c r="BC280" i="1" s="1"/>
  <c r="BC86" i="1" s="1"/>
  <c r="BC321" i="1" s="1"/>
  <c r="BC346" i="1" s="1"/>
  <c r="BC352" i="1" s="1"/>
  <c r="V222" i="1"/>
  <c r="U222" i="1"/>
  <c r="T222" i="1"/>
  <c r="BV112" i="1"/>
  <c r="BK116" i="1"/>
  <c r="BL122" i="1"/>
  <c r="BV89" i="1"/>
  <c r="BH88" i="1"/>
  <c r="AR333" i="1"/>
  <c r="AP86" i="1"/>
  <c r="AP352" i="1" s="1"/>
  <c r="AM284" i="1"/>
  <c r="AN284" i="1"/>
  <c r="AM222" i="1"/>
  <c r="AY321" i="1"/>
  <c r="AY346" i="1" s="1"/>
  <c r="AY352" i="1" s="1"/>
  <c r="BK201" i="1"/>
  <c r="BK197" i="1" s="1"/>
  <c r="BV201" i="1"/>
  <c r="BH197" i="1"/>
  <c r="AV169" i="1"/>
  <c r="BR169" i="1" s="1"/>
  <c r="BR170" i="1"/>
  <c r="P321" i="1"/>
  <c r="P346" i="1" s="1"/>
  <c r="P352" i="1" s="1"/>
  <c r="BR132" i="1"/>
  <c r="BJ78" i="1"/>
  <c r="BJ67" i="1" s="1"/>
  <c r="BJ59" i="1" s="1"/>
  <c r="BJ48" i="1" s="1"/>
  <c r="BJ2" i="1" s="1"/>
  <c r="BJ321" i="1" s="1"/>
  <c r="BJ346" i="1" s="1"/>
  <c r="BJ352" i="1" s="1"/>
  <c r="BH78" i="1"/>
  <c r="BI78" i="1"/>
  <c r="BI67" i="1" s="1"/>
  <c r="BI59" i="1" s="1"/>
  <c r="BI48" i="1" s="1"/>
  <c r="BI2" i="1" s="1"/>
  <c r="BF67" i="1"/>
  <c r="BF59" i="1" s="1"/>
  <c r="BF48" i="1" s="1"/>
  <c r="BF2" i="1" s="1"/>
  <c r="BF321" i="1" s="1"/>
  <c r="BF346" i="1" s="1"/>
  <c r="BF352" i="1" s="1"/>
  <c r="BM116" i="1"/>
  <c r="BI321" i="1" l="1"/>
  <c r="BI346" i="1" s="1"/>
  <c r="BI352" i="1" s="1"/>
  <c r="BR280" i="1"/>
  <c r="BV280" i="1"/>
  <c r="BK196" i="1"/>
  <c r="BQ196" i="1" s="1"/>
  <c r="BQ197" i="1"/>
  <c r="BV78" i="1"/>
  <c r="BK78" i="1"/>
  <c r="BH67" i="1"/>
  <c r="AM86" i="1"/>
  <c r="AN86" i="1"/>
  <c r="AV87" i="1"/>
  <c r="BR88" i="1"/>
  <c r="T86" i="1"/>
  <c r="U86" i="1"/>
  <c r="Y2" i="1"/>
  <c r="BV169" i="1"/>
  <c r="BP321" i="1"/>
  <c r="BW250" i="1"/>
  <c r="BW252" i="1" s="1"/>
  <c r="BR250" i="1"/>
  <c r="S321" i="1"/>
  <c r="V2" i="1"/>
  <c r="U2" i="1"/>
  <c r="T2" i="1"/>
  <c r="BG131" i="1"/>
  <c r="BG86" i="1" s="1"/>
  <c r="BG321" i="1" s="1"/>
  <c r="BG346" i="1" s="1"/>
  <c r="BG352" i="1" s="1"/>
  <c r="AV131" i="1"/>
  <c r="BR131" i="1" s="1"/>
  <c r="BV308" i="1"/>
  <c r="BH300" i="1"/>
  <c r="AI321" i="1"/>
  <c r="AO2" i="1"/>
  <c r="BQ317" i="1"/>
  <c r="BK308" i="1"/>
  <c r="BM317" i="1"/>
  <c r="BM308" i="1" s="1"/>
  <c r="BM300" i="1" s="1"/>
  <c r="BM299" i="1" s="1"/>
  <c r="BL317" i="1"/>
  <c r="BL308" i="1" s="1"/>
  <c r="BL300" i="1" s="1"/>
  <c r="BL299" i="1" s="1"/>
  <c r="BV237" i="1"/>
  <c r="BH222" i="1"/>
  <c r="BV222" i="1" s="1"/>
  <c r="BK206" i="1"/>
  <c r="BQ206" i="1" s="1"/>
  <c r="BQ207" i="1"/>
  <c r="X86" i="1"/>
  <c r="Y86" i="1" s="1"/>
  <c r="AV48" i="1"/>
  <c r="BR59" i="1"/>
  <c r="BL87" i="1"/>
  <c r="BH131" i="1"/>
  <c r="BV131" i="1" s="1"/>
  <c r="BV132" i="1"/>
  <c r="BH87" i="1"/>
  <c r="BV88" i="1"/>
  <c r="AL321" i="1"/>
  <c r="AN2" i="1"/>
  <c r="AM2" i="1"/>
  <c r="BM197" i="1"/>
  <c r="BM196" i="1" s="1"/>
  <c r="BM131" i="1" s="1"/>
  <c r="BV197" i="1"/>
  <c r="BH196" i="1"/>
  <c r="BV196" i="1" s="1"/>
  <c r="BM207" i="1"/>
  <c r="BM206" i="1" s="1"/>
  <c r="O87" i="1"/>
  <c r="V88" i="1"/>
  <c r="AO86" i="1"/>
  <c r="AN131" i="1"/>
  <c r="AM131" i="1"/>
  <c r="AW321" i="1"/>
  <c r="AW346" i="1" s="1"/>
  <c r="AW352" i="1" s="1"/>
  <c r="BM112" i="1"/>
  <c r="BM87" i="1" s="1"/>
  <c r="BM86" i="1" s="1"/>
  <c r="BK158" i="1"/>
  <c r="BQ159" i="1"/>
  <c r="BR284" i="1"/>
  <c r="BV284" i="1"/>
  <c r="BL201" i="1"/>
  <c r="BQ201" i="1"/>
  <c r="BM201" i="1"/>
  <c r="BK112" i="1"/>
  <c r="BQ116" i="1"/>
  <c r="BK237" i="1"/>
  <c r="BQ238" i="1"/>
  <c r="BL197" i="1"/>
  <c r="BL196" i="1" s="1"/>
  <c r="BL131" i="1" s="1"/>
  <c r="BR48" i="1" l="1"/>
  <c r="AV2" i="1"/>
  <c r="AO321" i="1"/>
  <c r="AI346" i="1"/>
  <c r="BV67" i="1"/>
  <c r="BH59" i="1"/>
  <c r="BV300" i="1"/>
  <c r="BH299" i="1"/>
  <c r="BV299" i="1" s="1"/>
  <c r="BP346" i="1"/>
  <c r="BQ78" i="1"/>
  <c r="BL78" i="1"/>
  <c r="BL67" i="1" s="1"/>
  <c r="BL59" i="1" s="1"/>
  <c r="BL48" i="1" s="1"/>
  <c r="BL2" i="1" s="1"/>
  <c r="BM78" i="1"/>
  <c r="BM67" i="1" s="1"/>
  <c r="BM59" i="1" s="1"/>
  <c r="BM48" i="1" s="1"/>
  <c r="BM2" i="1" s="1"/>
  <c r="BM321" i="1" s="1"/>
  <c r="BM346" i="1" s="1"/>
  <c r="BM352" i="1" s="1"/>
  <c r="BK67" i="1"/>
  <c r="O86" i="1"/>
  <c r="V87" i="1"/>
  <c r="BL86" i="1"/>
  <c r="BQ158" i="1"/>
  <c r="BK131" i="1"/>
  <c r="BQ131" i="1" s="1"/>
  <c r="X321" i="1"/>
  <c r="AL346" i="1"/>
  <c r="AM321" i="1"/>
  <c r="AN321" i="1"/>
  <c r="BK222" i="1"/>
  <c r="BQ222" i="1" s="1"/>
  <c r="BQ237" i="1"/>
  <c r="BH86" i="1"/>
  <c r="BV86" i="1" s="1"/>
  <c r="BV87" i="1"/>
  <c r="BQ112" i="1"/>
  <c r="BK87" i="1"/>
  <c r="U321" i="1"/>
  <c r="S346" i="1"/>
  <c r="T321" i="1"/>
  <c r="BQ308" i="1"/>
  <c r="BK300" i="1"/>
  <c r="AV86" i="1"/>
  <c r="BR86" i="1" s="1"/>
  <c r="BR87" i="1"/>
  <c r="AN346" i="1" l="1"/>
  <c r="AL352" i="1"/>
  <c r="AM346" i="1"/>
  <c r="BP352" i="1"/>
  <c r="BK299" i="1"/>
  <c r="BQ299" i="1" s="1"/>
  <c r="BQ300" i="1"/>
  <c r="S352" i="1"/>
  <c r="U346" i="1"/>
  <c r="T346" i="1"/>
  <c r="Y321" i="1"/>
  <c r="X346" i="1"/>
  <c r="BQ87" i="1"/>
  <c r="BV59" i="1"/>
  <c r="BH48" i="1"/>
  <c r="O321" i="1"/>
  <c r="V86" i="1"/>
  <c r="AO346" i="1"/>
  <c r="AI352" i="1"/>
  <c r="AO352" i="1" s="1"/>
  <c r="BQ67" i="1"/>
  <c r="BK59" i="1"/>
  <c r="AV321" i="1"/>
  <c r="BR2" i="1"/>
  <c r="BL321" i="1"/>
  <c r="BL346" i="1" s="1"/>
  <c r="BL352" i="1" s="1"/>
  <c r="AN352" i="1" l="1"/>
  <c r="AM352" i="1"/>
  <c r="X352" i="1"/>
  <c r="Y352" i="1" s="1"/>
  <c r="Y346" i="1"/>
  <c r="BK48" i="1"/>
  <c r="BQ59" i="1"/>
  <c r="U352" i="1"/>
  <c r="T352" i="1"/>
  <c r="O346" i="1"/>
  <c r="V321" i="1"/>
  <c r="BV48" i="1"/>
  <c r="BH2" i="1"/>
  <c r="BK86" i="1"/>
  <c r="BQ86" i="1" s="1"/>
  <c r="AV346" i="1"/>
  <c r="BR321" i="1"/>
  <c r="BH321" i="1" l="1"/>
  <c r="BV2" i="1"/>
  <c r="O352" i="1"/>
  <c r="V352" i="1" s="1"/>
  <c r="V346" i="1"/>
  <c r="AV352" i="1"/>
  <c r="BR352" i="1" s="1"/>
  <c r="BR346" i="1"/>
  <c r="BK2" i="1"/>
  <c r="BQ48" i="1"/>
  <c r="BH346" i="1" l="1"/>
  <c r="BV321" i="1"/>
  <c r="BK321" i="1"/>
  <c r="BQ2" i="1"/>
  <c r="BK346" i="1" l="1"/>
  <c r="BQ321" i="1"/>
  <c r="BH352" i="1"/>
  <c r="BV352" i="1" s="1"/>
  <c r="BV346" i="1"/>
  <c r="BK352" i="1" l="1"/>
  <c r="BQ352" i="1" s="1"/>
  <c r="BQ346" i="1"/>
</calcChain>
</file>

<file path=xl/sharedStrings.xml><?xml version="1.0" encoding="utf-8"?>
<sst xmlns="http://schemas.openxmlformats.org/spreadsheetml/2006/main" count="1707" uniqueCount="837">
  <si>
    <t>1° Livello</t>
  </si>
  <si>
    <t>PIANO DEI CONTI</t>
  </si>
  <si>
    <t>BUDGET 2021</t>
  </si>
  <si>
    <t>VERIFICA AL 31/10 CON PROIEZIONE 31/12</t>
  </si>
  <si>
    <t>BUDGET 2022</t>
  </si>
  <si>
    <t>BILANCIO 2021</t>
  </si>
  <si>
    <t>30/06/2022 da CBA</t>
  </si>
  <si>
    <t>30/06/2022 per UPIPA</t>
  </si>
  <si>
    <t>proiezione 31/12/2022 UPIPA</t>
  </si>
  <si>
    <t>PROIEZIONE 31/12/2022 da semestrale</t>
  </si>
  <si>
    <t>differenza proiezione UPIPA/ budget 2022</t>
  </si>
  <si>
    <t>30/09/2022 da CBA</t>
  </si>
  <si>
    <t>31/10/2022 CBA</t>
  </si>
  <si>
    <t>PROIEZIONE 31/12/2022 da 30/09/2022</t>
  </si>
  <si>
    <t>differenza PROIEZIONE/ budget 2022</t>
  </si>
  <si>
    <t>Differenza Proiezione/Bilancio 2021</t>
  </si>
  <si>
    <t>Differenza Proiezioni</t>
  </si>
  <si>
    <t>Note</t>
  </si>
  <si>
    <t>CHIUSURA PRESUNTA</t>
  </si>
  <si>
    <t>DIFFERENZA</t>
  </si>
  <si>
    <t>BUDGET 2023
(A)</t>
  </si>
  <si>
    <t>DIFFERENZA BUDGET 2023-2022</t>
  </si>
  <si>
    <t>DIFFERENZA BUDGET 2023 - CHIUSURA 202</t>
  </si>
  <si>
    <t>1 TRIMESTRE 2023</t>
  </si>
  <si>
    <t>VERIFICA AL 30/06/2023 CON PROIEZIONE AL 31/12/2023
( C )</t>
  </si>
  <si>
    <t>SCOSTAMENTO
1 trimestre 2023</t>
  </si>
  <si>
    <t>VERIFICA AL 30/09/2023 CON PROIEZIONE AL 31/12/2023</t>
  </si>
  <si>
    <t>CHIUSURA PRESUNTA
(B)</t>
  </si>
  <si>
    <t>SCOSTAMENTO
(B-C)</t>
  </si>
  <si>
    <t>SCOSTAMENTO
(B-A)</t>
  </si>
  <si>
    <t>SCOSTAMENTO
(B-A)
verifica al 30/06</t>
  </si>
  <si>
    <t>NOTE (1 semestre 2023)</t>
  </si>
  <si>
    <t>NOTE</t>
  </si>
  <si>
    <t>NOTE al 30/06</t>
  </si>
  <si>
    <t>BUDGET 2024 da arrotondare
( C )</t>
  </si>
  <si>
    <t>BILANCIO 2023
( C )</t>
  </si>
  <si>
    <t>BUDGET 2024
(A)</t>
  </si>
  <si>
    <t>SCOSTAMENTO
(C da arrotondare-A)</t>
  </si>
  <si>
    <t>SCOSTAMENTO
(C-B)</t>
  </si>
  <si>
    <t>NOTE BUDGET 2024</t>
  </si>
  <si>
    <t>VERIFICA 1° TRIMESTRE 2024
(B)</t>
  </si>
  <si>
    <t>VERIFICA 1° SEMESTRE 2024
(B)</t>
  </si>
  <si>
    <t>SCOSTAMENTO
1° TRIMESTRE 2024</t>
  </si>
  <si>
    <t>VERIFICA AL 30/09/2024
( B )</t>
  </si>
  <si>
    <t>SCOSTAMENTO
1° SEMESTRE 2024
(B-A)</t>
  </si>
  <si>
    <t>SCOSTAMENTO BILANCIO 2023
(B-C)</t>
  </si>
  <si>
    <t>CHIUSURA PRESUNTA
( B )</t>
  </si>
  <si>
    <t>SCOSTAMENTO (C-B)</t>
  </si>
  <si>
    <t>SCOSTAMENTO (C-A)</t>
  </si>
  <si>
    <t>NOTE 3° trimestre 2024</t>
  </si>
  <si>
    <t>NOTE 4° trimestre 2024</t>
  </si>
  <si>
    <t>BILANCIO ESERCIZIO 2024</t>
  </si>
  <si>
    <t>SCOSTAMENTO
(C-A)</t>
  </si>
  <si>
    <t>NOTE CHIUSURA</t>
  </si>
  <si>
    <t>NOTE 1° semsetre 2024</t>
  </si>
  <si>
    <t>NOTE 1° trimestre 2024</t>
  </si>
  <si>
    <t>dif</t>
  </si>
  <si>
    <t>BILANCIO ESERCIZIO 2023</t>
  </si>
  <si>
    <t>3) CONTO ECONOMICO</t>
  </si>
  <si>
    <t>A) VALORE DELLA PRODUZIONE</t>
  </si>
  <si>
    <t>I) Ricavi delle vendite e delle prest.</t>
  </si>
  <si>
    <t>R.S.A.</t>
  </si>
  <si>
    <t>Retta sanitaria</t>
  </si>
  <si>
    <t>Retta sanitaria Ospiti P.A.T.</t>
  </si>
  <si>
    <t xml:space="preserve">                         Retta sanitaria Ospiti P.A.T.</t>
  </si>
  <si>
    <t>Tariffa sanitaria aggiornamento 2022</t>
  </si>
  <si>
    <t>da file proiezione 2023 (presenze stimate: 199 - effettive: 200,18 - compreso mantenimento)</t>
  </si>
  <si>
    <t>da file proiezione 2023 (presenze stimate: 199 - effettive: 200,16 - compreso mantenimento)</t>
  </si>
  <si>
    <t>giorni scopertura: budget 366 / proiezione 242,67 - p.l. Namir: budget 3 - ad oggi 1 - € -7.000,00 di recupero tariffario medico</t>
  </si>
  <si>
    <t>giorni scopertura: budget 366 / proiezione 261,82 - p.l. Namir: budget 3 - ad oggi 1 - € -7.000,00 di recupero tariffario medico</t>
  </si>
  <si>
    <t>giorni scopertura: budget 366 / chiusura 264 - p.l. Namir: budget 3 - chiusura 1,26 - € -6.700,96 di recupero tariffario medico</t>
  </si>
  <si>
    <t>giorni scopertura: budget 366 / proiezione 229,71 - p.l. Namir: budget 3 - ad oggi 1 - € -7.000,00 di recupero tariffario medico</t>
  </si>
  <si>
    <t>giorni scopertura: budget 366 / proiezione 172 - p.l. Namir: budget 3 - ad oggi 1</t>
  </si>
  <si>
    <t>€ 7.000,00 recupero tariffario medico</t>
  </si>
  <si>
    <t>Retta sanitaria Ospiti fuori P.A.T.</t>
  </si>
  <si>
    <t xml:space="preserve">                         Retta sanitaria Ospiti fuori P.A.T.</t>
  </si>
  <si>
    <t>da file proiezione 2023 (presenze stimate: 2 - effettive: 1,12)</t>
  </si>
  <si>
    <t>da file proiezione 2023 (presenze stimate: 2 - effettive: 1,10)</t>
  </si>
  <si>
    <t>a budget considerata tariffa Namir invece che tariffa Nafa</t>
  </si>
  <si>
    <t>a budget considerata anche quota alberghiera</t>
  </si>
  <si>
    <t>Retta alberghiera</t>
  </si>
  <si>
    <t>Retta alberghiera Ospiti UVM</t>
  </si>
  <si>
    <t xml:space="preserve">                         Retta alberghiera Ospiti P.A.T.</t>
  </si>
  <si>
    <t>Retta + 0%</t>
  </si>
  <si>
    <t>da file proiezione 2023 (presenze stimate: 199 - effettive: 199,20 + 0,98 mantenimento) - stanze singole a budget imputate tutte su Ospiti UVM</t>
  </si>
  <si>
    <t>da file proiezione 2023 (presenze stimate: 199 - effettive: 199,14 + 1,02 mantenimento) - stanze singole a budget imputate tutte su Ospiti UVM</t>
  </si>
  <si>
    <t>media Ospiti: +0,31 (budget: tutte le stanze singole) e media 1,42 di mantenimento</t>
  </si>
  <si>
    <t>media Ospiti: +0,23 (budget: tutte le stanze singole) compreso mantenimento</t>
  </si>
  <si>
    <t>media Ospiti: +0,33 (budget: tutte le stanze singole)</t>
  </si>
  <si>
    <t>media Ospiti: +0,53 (budget: tutte le stanze singole)</t>
  </si>
  <si>
    <t>Retta alberghiera Ospiti fuori P.A.T.</t>
  </si>
  <si>
    <t xml:space="preserve">                         Retta alberghiera Ospiti fuori P.A.T.</t>
  </si>
  <si>
    <t>da file proiezione 2023 (presenze stimate: 2 - effettive: 1,12) - stanze singole a budget imputate tutte su Ospiti UVM</t>
  </si>
  <si>
    <t>da file proiezione 2023 (presenze stimate: 2 - effettive: 1,10) - stanze singole a budget imputate tutte su Ospiti UVM</t>
  </si>
  <si>
    <t>budget: non conteggiata stanza singola</t>
  </si>
  <si>
    <t>Retta alberghiera Ospiti non convenzionati</t>
  </si>
  <si>
    <t>da file proiezione 2023 (presenze stimate: 14 - effettive: 15,69 + 0,06 mantenimento) - stanze singole a budget imputate tutte su Ospiti UVM</t>
  </si>
  <si>
    <t>da file proiezione 2023 (presenze stimate: 14 - effettive: 15,87 + 0,05 mantenimento) - stanze singole a budget imputate tutte su Ospiti UVM</t>
  </si>
  <si>
    <t>media Ospiti: +0,95 (budget: neanche una stanza singola) e media 0,13 di mantenimento</t>
  </si>
  <si>
    <t>media Ospiti: +0,92 (budget: neanche una stanza singola) compreso mantenimento</t>
  </si>
  <si>
    <t>media Ospiti: +0,98 (budget: neanche una stanza singola) compreso mantenimento</t>
  </si>
  <si>
    <t>media Ospiti: +0,99 (budget: neanche una stanza singola)</t>
  </si>
  <si>
    <t>media Ospiti: +0,76 (budget: neanche una stanza singola)</t>
  </si>
  <si>
    <t>Tariffa prest. aggiuntive R.S.A.</t>
  </si>
  <si>
    <t xml:space="preserve">                         Tariffa prest. aggiuntive R.S.A.</t>
  </si>
  <si>
    <t>podologo a pagamento</t>
  </si>
  <si>
    <t>/7x12</t>
  </si>
  <si>
    <t>/9x12</t>
  </si>
  <si>
    <t>/9*12</t>
  </si>
  <si>
    <t>/11*12</t>
  </si>
  <si>
    <t>/7*12</t>
  </si>
  <si>
    <t>Casa di soggiorno</t>
  </si>
  <si>
    <t>Retta alberghiera Ospiti</t>
  </si>
  <si>
    <t xml:space="preserve">                         Retta alberghiera Ospiti</t>
  </si>
  <si>
    <t>da file proiezione 2023 (presenze stimate: 4 - effettive: 4) - stanze singole a budget imputate tutte su Ospiti UVM</t>
  </si>
  <si>
    <t>media Ospiti: -0,01</t>
  </si>
  <si>
    <t>media Ospiti: uguale</t>
  </si>
  <si>
    <t>Tariffa prest. aggiuntive C.S.</t>
  </si>
  <si>
    <t>Centro Diurno</t>
  </si>
  <si>
    <t>Tariffa pasti Centro Diurno</t>
  </si>
  <si>
    <t xml:space="preserve">                         Tariffa pasti Centro Diurno</t>
  </si>
  <si>
    <t>nr. pasti consuntivo x nuova tariffa</t>
  </si>
  <si>
    <t>/3*12</t>
  </si>
  <si>
    <t>Tariffa trasporto Centro Diurno</t>
  </si>
  <si>
    <t xml:space="preserve">                         Tariffa trasporto Centro Diurno</t>
  </si>
  <si>
    <t>Da direttive</t>
  </si>
  <si>
    <t>uguale budget 2023</t>
  </si>
  <si>
    <t>Tariffa prest. aggiuntive C.D.</t>
  </si>
  <si>
    <t xml:space="preserve">                         Tariffa prest. aggiuntive C.D.</t>
  </si>
  <si>
    <t>uguale chisura presunta</t>
  </si>
  <si>
    <t>Tariffa socio san. utenti Centro Diurno</t>
  </si>
  <si>
    <t xml:space="preserve">                         Tariffa socio san. utenti Centro Diurno</t>
  </si>
  <si>
    <t>Da Direttive + PICA</t>
  </si>
  <si>
    <t>Tariffa Centro Diurno a pagamento</t>
  </si>
  <si>
    <t xml:space="preserve">                         Tariffa Centro Diurno a pagamento</t>
  </si>
  <si>
    <t>Non previsto a budget</t>
  </si>
  <si>
    <t>da file proiezione 2023</t>
  </si>
  <si>
    <t>presenza media n. 4 utenti</t>
  </si>
  <si>
    <t>/274*366</t>
  </si>
  <si>
    <t>/213*366</t>
  </si>
  <si>
    <t>da file proiezione</t>
  </si>
  <si>
    <t>Servizio pasti</t>
  </si>
  <si>
    <t>Pasti convenzionati</t>
  </si>
  <si>
    <t>Tariffa pasti esterni Comunità di Valle</t>
  </si>
  <si>
    <t xml:space="preserve">                         Tariffa pasti esterni Comunità di Valle</t>
  </si>
  <si>
    <t>pasti 2022 per 12 mesi</t>
  </si>
  <si>
    <t>+n. 503 pasti</t>
  </si>
  <si>
    <t>Tariffa pasti esterni Lab. Sociale</t>
  </si>
  <si>
    <t>Tariffa pasti esterni CS4</t>
  </si>
  <si>
    <t xml:space="preserve">                         Tariffa pasti esterni CS4</t>
  </si>
  <si>
    <t>nr. pasti consuntivo (-52 lunedì) x nuova tariffa</t>
  </si>
  <si>
    <t>-n. 924 pasti</t>
  </si>
  <si>
    <t>Tariffa pasti esterni Cooperativa</t>
  </si>
  <si>
    <t>/6x11 - iniziato nel mese di febbraio</t>
  </si>
  <si>
    <t>/8x11 - iniziato nel mese di febbraio</t>
  </si>
  <si>
    <t>+n. 177 pasti</t>
  </si>
  <si>
    <t>Pasti privati</t>
  </si>
  <si>
    <t>Rifusione pasti personale</t>
  </si>
  <si>
    <t xml:space="preserve">                         Rifusione pasti personale</t>
  </si>
  <si>
    <t>nr. pasti consuntivo (calcolati tutti ridotti) x nuova tariffa</t>
  </si>
  <si>
    <t>Rifusione pasti parenti</t>
  </si>
  <si>
    <t>pranzo Natale</t>
  </si>
  <si>
    <t>Pasti diversi</t>
  </si>
  <si>
    <t xml:space="preserve">                         Pasti diversi</t>
  </si>
  <si>
    <t xml:space="preserve">Pasti seggi </t>
  </si>
  <si>
    <t>previste elezioni</t>
  </si>
  <si>
    <t>/7x12 + € 1.600,00 per elezioni politiche</t>
  </si>
  <si>
    <t>/9x12 + € 1.600,00 per elezioni politiche</t>
  </si>
  <si>
    <t>nr. pasti consuntivo (calcolati tutti ridotti) x nuova tariffa + € 2.000,00 elezioni</t>
  </si>
  <si>
    <t>/9*12 tenendo conto delle elezioni</t>
  </si>
  <si>
    <t>/11*12 tenendo conto delle elezioni</t>
  </si>
  <si>
    <t>/7*12 tenendo conto delle elezioni</t>
  </si>
  <si>
    <t>Servizi ambulatoriali</t>
  </si>
  <si>
    <t>Attività riabilitative per esterni</t>
  </si>
  <si>
    <t>Tariffa att. riabilitative per esterni</t>
  </si>
  <si>
    <t xml:space="preserve">                         Tariffa att. riabilitative per esterni</t>
  </si>
  <si>
    <t>aumento ore</t>
  </si>
  <si>
    <t>/7x12 + € 3.674,37 di finanziamento aggiuntivo per fare come budget (nel 2022 € 2.015,52 per 6 mesi)</t>
  </si>
  <si>
    <t>confermato budget - al 30/09 € 13.524,30</t>
  </si>
  <si>
    <t>confermato budget 2023</t>
  </si>
  <si>
    <t>dati da cruscotto</t>
  </si>
  <si>
    <t>dati da cruscotto: considerato finanziamento aggiuntivo 50% fatture APSS</t>
  </si>
  <si>
    <t>finanziamento aggiuntivo € 7.500,00</t>
  </si>
  <si>
    <t>Tariffa att. odontoiatriche per esterni</t>
  </si>
  <si>
    <t>Tariffa att. podologiche per esterni</t>
  </si>
  <si>
    <t>Servizi domiciliari</t>
  </si>
  <si>
    <t>Attività domiciliari</t>
  </si>
  <si>
    <t>Tariffa prestazioni infermieristiche a domicilio</t>
  </si>
  <si>
    <t>Tariffa prestazioni fisioterapiche a domicilio</t>
  </si>
  <si>
    <t>Tariffa noleggio ausili e presidi</t>
  </si>
  <si>
    <t>IV) Increm.immobilizz. per lav. interni</t>
  </si>
  <si>
    <t>Incremento valore immob. per lav. int.</t>
  </si>
  <si>
    <t>V) Altri ricavi e proventi</t>
  </si>
  <si>
    <t>Contributi</t>
  </si>
  <si>
    <t>Contributi in c/capitale</t>
  </si>
  <si>
    <t>Contributi P.A.T. c/fabbricati</t>
  </si>
  <si>
    <t xml:space="preserve">                         Contributi P.A.T. c/fabbricati</t>
  </si>
  <si>
    <t>calcolati con ammortamenti</t>
  </si>
  <si>
    <t>confermata semestrale calcalata con ammortamenti</t>
  </si>
  <si>
    <t>Contributi P.A.T. c/attrezzature</t>
  </si>
  <si>
    <t xml:space="preserve">                         Contributi P.A.T. c/attrezzature</t>
  </si>
  <si>
    <t>Contributi altri Enti</t>
  </si>
  <si>
    <t>Contributi in conto esercizio</t>
  </si>
  <si>
    <t>Contributo straordinario PAT ristoro emergenza Covid</t>
  </si>
  <si>
    <t>Contributo caro energia</t>
  </si>
  <si>
    <t>Contributi diversi</t>
  </si>
  <si>
    <t>Finanziamento progetti</t>
  </si>
  <si>
    <t xml:space="preserve">                         Finanziamento progetti</t>
  </si>
  <si>
    <t>Minor progetti+Folgaria</t>
  </si>
  <si>
    <t>finaziamento progetti/interventi + euro 300,00 gennaio Folgaria</t>
  </si>
  <si>
    <t>Altri ricavi e proventi</t>
  </si>
  <si>
    <t>Rimborsi spese personale</t>
  </si>
  <si>
    <t>Rimborso assicurazione INAIL</t>
  </si>
  <si>
    <t xml:space="preserve">                         Rimborso assicurazione INAIL</t>
  </si>
  <si>
    <t>ad oggi</t>
  </si>
  <si>
    <t>Rimborso personale in comando</t>
  </si>
  <si>
    <t>Stomeo</t>
  </si>
  <si>
    <t>cessata al 31/05</t>
  </si>
  <si>
    <t>Rimborso personale a scavalco</t>
  </si>
  <si>
    <t xml:space="preserve">                         Rimborso personale a scavalco</t>
  </si>
  <si>
    <t>direttore</t>
  </si>
  <si>
    <t>rideterminazione indennità risultato e di posizione</t>
  </si>
  <si>
    <t>rideterminazione indennità risultato e di posizione + rimborso medico per € 10.709,11</t>
  </si>
  <si>
    <t>DIR+MED Levico+0,50Sabrina</t>
  </si>
  <si>
    <t>DIR e Sabrina Folgaria - Medico Levico - Stefania Strigno</t>
  </si>
  <si>
    <t>Finanziamento PAT FOREG</t>
  </si>
  <si>
    <t>Finanziamento SANIFONDS</t>
  </si>
  <si>
    <t xml:space="preserve">                         Finanziamento SANIFONDS</t>
  </si>
  <si>
    <t>Anno 2022</t>
  </si>
  <si>
    <t>Calcolato</t>
  </si>
  <si>
    <t>Finanziamento PAT rinnovo contrattuale</t>
  </si>
  <si>
    <t xml:space="preserve">                         Finanziamento PAT rinnovo contrattuale</t>
  </si>
  <si>
    <t>con 38% oneri</t>
  </si>
  <si>
    <t>confermato budget (da conteggi € 1.100.325,55)</t>
  </si>
  <si>
    <t>confermato budget + quota una tantum</t>
  </si>
  <si>
    <t>488.817,50 aumento contrattuale + 179.784,13 arretrati progressioni</t>
  </si>
  <si>
    <t>Rimborsi spese</t>
  </si>
  <si>
    <t>Rimborso spese farmaci e ossigeno</t>
  </si>
  <si>
    <t xml:space="preserve">                         Rimborso spese farmaci e ossigeno</t>
  </si>
  <si>
    <t>uguale a costo</t>
  </si>
  <si>
    <t>direttive 2023</t>
  </si>
  <si>
    <t>uguale alla spesa</t>
  </si>
  <si>
    <t>Rimborso spese presidi sanitari</t>
  </si>
  <si>
    <t xml:space="preserve">                         Rimborso spese presidi sanitari</t>
  </si>
  <si>
    <t>Rimborso spese ass. medico-specialistica</t>
  </si>
  <si>
    <t xml:space="preserve">                         Rimborso spese varie</t>
  </si>
  <si>
    <t>Rimborso spese varie</t>
  </si>
  <si>
    <t>Rimborsi spese ospiti (= oneri gestione vari) + Persen + 1000rimborso concorsi Levico e Folgaria</t>
  </si>
  <si>
    <t>/7x12 + persen + utilizzo locali Palazzina</t>
  </si>
  <si>
    <t>/9x12 + persen + utilizzo locali Palazzina</t>
  </si>
  <si>
    <t>confermata chiusura</t>
  </si>
  <si>
    <t>v/oneri di gestione vari (TrentinoSolidale+Persen+rimb. Concorsi)</t>
  </si>
  <si>
    <t>v/oneri di gestione vari (TrentinoSolidale+Persen)</t>
  </si>
  <si>
    <t>v/oneri di gestione vari (TrentinoSolidale+Persen+rimb. Concorsi DA INSERIRE)</t>
  </si>
  <si>
    <t>Rimborso acquisto farmaci</t>
  </si>
  <si>
    <t xml:space="preserve">                         Rimborso acquisto farmaci</t>
  </si>
  <si>
    <t>/9X12</t>
  </si>
  <si>
    <t>Rimborso spese ass. medico-generica</t>
  </si>
  <si>
    <t>*2</t>
  </si>
  <si>
    <t>Rimborso danni Ospiti</t>
  </si>
  <si>
    <t>Rimborso spese utilizzo sale</t>
  </si>
  <si>
    <t>Rimborso da assicurazione</t>
  </si>
  <si>
    <t xml:space="preserve">                         Rimborso da assicurazione</t>
  </si>
  <si>
    <t>Contenzioso lavoro</t>
  </si>
  <si>
    <t>Tamanini = costo</t>
  </si>
  <si>
    <t>Tentato furto Via Marconi</t>
  </si>
  <si>
    <t>Tentato furto Via Marconi/muro RSA Pive/scheda forno</t>
  </si>
  <si>
    <t>Rimborso spese bollo</t>
  </si>
  <si>
    <t xml:space="preserve">                         Rimborso spese bollo</t>
  </si>
  <si>
    <t>Rimborso Occhio alla Salute</t>
  </si>
  <si>
    <t>ecografo + assicurazione + spese varie con proiezione (circa € 800,00 - 2022: € 4.000,00 forfettario)</t>
  </si>
  <si>
    <t>confermato budget</t>
  </si>
  <si>
    <t>Ricavi diversi</t>
  </si>
  <si>
    <t>Quote adesione a concorsi</t>
  </si>
  <si>
    <t xml:space="preserve">                         Quote adesione a concorsi</t>
  </si>
  <si>
    <t>ass. amm.+ausiliario+cucina+OSS</t>
  </si>
  <si>
    <t>Doni sotto l'albero + occhio alla salute</t>
  </si>
  <si>
    <t>doni+occhio alla salute+psicologo+centro</t>
  </si>
  <si>
    <t>doni sotto l'Albero (anno 2022 rimborsi Occhio alla Salute - 2023: conto ad hoc) - 5.600,00 assitenza psciologica????</t>
  </si>
  <si>
    <t>confermato budget + penali Ricci</t>
  </si>
  <si>
    <t>natale + penali Ricci</t>
  </si>
  <si>
    <t>natale + penali Ricci - previsti € 275,00 Natale 2024 Civezzano</t>
  </si>
  <si>
    <t>Arrotondamenti attivi</t>
  </si>
  <si>
    <t xml:space="preserve">                         Arrotondamenti attivi</t>
  </si>
  <si>
    <t>Quota adesione convegni e corsi di form.</t>
  </si>
  <si>
    <t xml:space="preserve">                         Quota adesione convegni e corsi di form.</t>
  </si>
  <si>
    <t>effettivo</t>
  </si>
  <si>
    <t>da rettifiche</t>
  </si>
  <si>
    <t>effettivo (da risconti)</t>
  </si>
  <si>
    <t>Sopravv. attive in gestione ordinaria</t>
  </si>
  <si>
    <t>Non previsto</t>
  </si>
  <si>
    <t>incasso non di nostra competenza + contributo energia € 3.971,18 + € 19.631,86 indenntià risultato e posizione DIR anni 2021 e 2022</t>
  </si>
  <si>
    <t>Lasciti e donazioni</t>
  </si>
  <si>
    <t>Campregher</t>
  </si>
  <si>
    <t>B) COSTI DELLA PRODUZIONE</t>
  </si>
  <si>
    <t>I) Consumo di beni e materiali</t>
  </si>
  <si>
    <t>Acquisto di beni</t>
  </si>
  <si>
    <t>Acq. beni sanitario assistenziali</t>
  </si>
  <si>
    <t>Farmaci e materiale sanitario</t>
  </si>
  <si>
    <t xml:space="preserve">                         Farmaci e materiale sanitario</t>
  </si>
  <si>
    <t>+2,3% rispetto a chiusura</t>
  </si>
  <si>
    <t>Presidi per incontinenza</t>
  </si>
  <si>
    <t xml:space="preserve">                         Presidi per incontinenza</t>
  </si>
  <si>
    <t>IN BASE A NUOVA CONVENZIONE</t>
  </si>
  <si>
    <t>/10X12 + adeguamento prezzo calcolato da marzo su nr. 201 Ospiti: € 9.441,42</t>
  </si>
  <si>
    <t>a budget non previsto aumento prezzo - tenuto conto eccedenza 2023 da scalare (7.603,17)</t>
  </si>
  <si>
    <t>a budget non previsto aumento prezzo -  eccedenza 2023 scalata</t>
  </si>
  <si>
    <t>Prodotti per igiene personale</t>
  </si>
  <si>
    <t xml:space="preserve">                         Prodotti per igiene personale</t>
  </si>
  <si>
    <t>Aumento 6%</t>
  </si>
  <si>
    <t>ordini fino a novembre (file conteggi)</t>
  </si>
  <si>
    <t>ad oggi euro 27.431,43 (calcolati altri tre ordini ICA+prodotti parrucchiera+disinfettante+salviette) e considerato aumento prezzo bavaglie (+963,68)</t>
  </si>
  <si>
    <t>parrucchiera risconto 2025? - maggior spesa Farmoder e Ica</t>
  </si>
  <si>
    <t>ad oggi + € 500,00 imprevisti - maggior spesa Farmoder e Ica</t>
  </si>
  <si>
    <t>Attrezzature sanitarie e assistenziali</t>
  </si>
  <si>
    <t xml:space="preserve">                         Attrezzature sanitarie e assistenziali</t>
  </si>
  <si>
    <t>/9x12 + teli materassi</t>
  </si>
  <si>
    <t>ad oggi + € 500,00 imprevisti</t>
  </si>
  <si>
    <t>Fornitura farmaci e ossigeno APSS</t>
  </si>
  <si>
    <t xml:space="preserve">                         Fornitura farmaci e ossigeno APSS</t>
  </si>
  <si>
    <t>in base ai primi due trimestri</t>
  </si>
  <si>
    <t>dato al 30/06 moltiplicato per due</t>
  </si>
  <si>
    <t>dato al 30/09 : 3x4</t>
  </si>
  <si>
    <t>Fornitura presidi sanitari APSS</t>
  </si>
  <si>
    <t xml:space="preserve">                         Fornitura presidi sanitari APSS</t>
  </si>
  <si>
    <t>Acquisto DPI</t>
  </si>
  <si>
    <t>riserva semestrale</t>
  </si>
  <si>
    <t>Acq. beni alberghieri</t>
  </si>
  <si>
    <t>Generi alimentari</t>
  </si>
  <si>
    <t xml:space="preserve">                         Generi alimentari</t>
  </si>
  <si>
    <t>Revisione prezzi (+8% inflazione)</t>
  </si>
  <si>
    <t>fino a giugno da cruscotto poi mese di luglio per 6</t>
  </si>
  <si>
    <t>fino a settembre da cruscotto poi mese di settembre per 3</t>
  </si>
  <si>
    <t>+4,6% rispetto a chiusura</t>
  </si>
  <si>
    <t>da cruscotto</t>
  </si>
  <si>
    <t>Detersivi e mat. pulizia locali e cucina</t>
  </si>
  <si>
    <t xml:space="preserve">                         Detersivi e mat. pulizia locali e cucina</t>
  </si>
  <si>
    <t>aumento prezzo Ress da agosto - aumento prezzo sacchi (vedi file conteggi)</t>
  </si>
  <si>
    <t>Detersivi per lavanderia</t>
  </si>
  <si>
    <t xml:space="preserve">                         Detersivi per lavanderia</t>
  </si>
  <si>
    <t>aumento prezzo Ress da agosto</t>
  </si>
  <si>
    <t>dal 01/08/2023: +133,33% aumento prezzo</t>
  </si>
  <si>
    <t>Stoviglie e articoli cucina</t>
  </si>
  <si>
    <t xml:space="preserve">                         Stoviglie e articoli cucina</t>
  </si>
  <si>
    <t>Ferruzzi € 8319 in 9 mesi; BDM € 6200 (compresi piatti e bicchieri tazze)</t>
  </si>
  <si>
    <t>/9x12 + ordine BDM + ordine monouso</t>
  </si>
  <si>
    <t>ad oggi compreso l'ordinato</t>
  </si>
  <si>
    <t>Biancheria, effetti letterecci e tovagliato</t>
  </si>
  <si>
    <t xml:space="preserve">                         Biancheria effetti letterecci tovagliato</t>
  </si>
  <si>
    <t>Nb: no risconto su federe, lenzuola e asciugamani</t>
  </si>
  <si>
    <t>Aumento 6% + acquisto trapuntine</t>
  </si>
  <si>
    <t>/7x12 - trapuntine previste a budget messe a cespite</t>
  </si>
  <si>
    <t>/9x12 - trapuntine previste a budget messe a cespite</t>
  </si>
  <si>
    <t>Attrezzature e materiale vario</t>
  </si>
  <si>
    <t xml:space="preserve">                         Attrezzature e materiale vario</t>
  </si>
  <si>
    <t>acquisto ventilatori + cornici per antincendio + porta documneti testaletto (11.261,79)</t>
  </si>
  <si>
    <t>Acquisti diversi</t>
  </si>
  <si>
    <t>Materiale manutenzione varia</t>
  </si>
  <si>
    <t xml:space="preserve">                         Materiale manutenzione varia</t>
  </si>
  <si>
    <t>confermato budget (conto /7x12 = euro 8.529,75)</t>
  </si>
  <si>
    <t>confermato budget (conto /9x12 = euro 12.036,41)</t>
  </si>
  <si>
    <t>Divise per il personale</t>
  </si>
  <si>
    <t xml:space="preserve">                         Divise per il personale</t>
  </si>
  <si>
    <t>/9x12 + ordine divise fisio</t>
  </si>
  <si>
    <t>Carburante e lubrificanti</t>
  </si>
  <si>
    <t xml:space="preserve">                         Carburante e lubrificanti</t>
  </si>
  <si>
    <t>Cancelleria</t>
  </si>
  <si>
    <t xml:space="preserve">                         Cancelleria</t>
  </si>
  <si>
    <t>vedi file conteggi</t>
  </si>
  <si>
    <t>ad oggi euro 0,00 - nel 2023 budget</t>
  </si>
  <si>
    <t>fiori per cimitero + bandiere</t>
  </si>
  <si>
    <t>ad oggi euro 0,00 - nel 2023 budge</t>
  </si>
  <si>
    <t>Acquisti e spese per attività animative</t>
  </si>
  <si>
    <t xml:space="preserve">                         Acquisti e spese per attività animative</t>
  </si>
  <si>
    <t>doni sotto l'albero(=ricavi)</t>
  </si>
  <si>
    <t>/7x12 + doni sotto l'Albero + n. 2 ordini di cancelleria</t>
  </si>
  <si>
    <t>/9x12 + doni sotto l'Albero</t>
  </si>
  <si>
    <t>lettura albi</t>
  </si>
  <si>
    <t>uscite Ospiti + doni sotto l'albero</t>
  </si>
  <si>
    <t>Acquisti diversi per Centro Diurno</t>
  </si>
  <si>
    <t xml:space="preserve">                         Acquisti diversi per Centro Diurno</t>
  </si>
  <si>
    <t>Variazioni delle rimanenze</t>
  </si>
  <si>
    <t>Rimanenze farmaci e materiale sanitario</t>
  </si>
  <si>
    <t>Rim. iniziali farmaci e mat. sanitario</t>
  </si>
  <si>
    <t>Rim. finali farmaci e mat. sanitario</t>
  </si>
  <si>
    <t>Rimanenze presidi incontinenza</t>
  </si>
  <si>
    <t>Rim. iniziali presidi incontinenza</t>
  </si>
  <si>
    <t>Rim. finali presidi incontinenza</t>
  </si>
  <si>
    <t>Rimanenze deter. e mat. pul. e prod. ig.</t>
  </si>
  <si>
    <t>Rim. iniz. deter. e mat. pul. e prod. ig</t>
  </si>
  <si>
    <t>Rim. fin. deter. e mat. pul. e prod. ig.</t>
  </si>
  <si>
    <t>Rimanenze generi alimentari</t>
  </si>
  <si>
    <t>Rim. iniziali generi alimentari</t>
  </si>
  <si>
    <t>Rim. finali generi alimentari</t>
  </si>
  <si>
    <t>Rimanenze materiali diversi</t>
  </si>
  <si>
    <t>Rim. iniziali materiali diversi</t>
  </si>
  <si>
    <t>Rim. finali materiali diversi</t>
  </si>
  <si>
    <t>Rimanenze DPI</t>
  </si>
  <si>
    <t>Rim. iniziali DPI</t>
  </si>
  <si>
    <t>NEL BUDGET 2024 INDICATE RIM. INIZIALI ERRATE: € 54.200,00 ANZICHE' € 61.390,48</t>
  </si>
  <si>
    <t>iniziali effettive</t>
  </si>
  <si>
    <t>Rim. Finali DPI</t>
  </si>
  <si>
    <t>II) Servizi</t>
  </si>
  <si>
    <t>finali per far diventare i 9.200,00</t>
  </si>
  <si>
    <t>Servizi di assistenza alla persona</t>
  </si>
  <si>
    <t>Compensi serv. assistenza alla persona</t>
  </si>
  <si>
    <t>Servizio medico</t>
  </si>
  <si>
    <t xml:space="preserve">                         Servizio medico</t>
  </si>
  <si>
    <t>Costo 2° medico dipendente 79.519,35</t>
  </si>
  <si>
    <t>ad oggi chiuse tutte le collaborazioni + sostituzione medici dipendenti</t>
  </si>
  <si>
    <t>Servizio infermieristico</t>
  </si>
  <si>
    <t xml:space="preserve">                         Servizio infermieristico</t>
  </si>
  <si>
    <t>Maggior ore per sostituzione assenze</t>
  </si>
  <si>
    <t>maggior numero di ore e aumento tariffa</t>
  </si>
  <si>
    <t>I.P. servizio notte passive + liberi professionisti per turnistica</t>
  </si>
  <si>
    <t>I.P. servizio notte passive</t>
  </si>
  <si>
    <t>Servizio podologico</t>
  </si>
  <si>
    <t xml:space="preserve">                         Servizio podologico</t>
  </si>
  <si>
    <t>a pagamento</t>
  </si>
  <si>
    <t>maggiori prestazioni</t>
  </si>
  <si>
    <t>Servizio trasporto</t>
  </si>
  <si>
    <t>Servizio di assistenza religiosa</t>
  </si>
  <si>
    <t xml:space="preserve">                         Assitenza religiosa</t>
  </si>
  <si>
    <t>lezionari messe</t>
  </si>
  <si>
    <t>Servizio socio-animativo-occupazionale</t>
  </si>
  <si>
    <t>importo previsto a determina</t>
  </si>
  <si>
    <t>importo previsto a determina era 4.987,50</t>
  </si>
  <si>
    <t>Servizio odontoiatrico</t>
  </si>
  <si>
    <t>Servizio psicologico</t>
  </si>
  <si>
    <t xml:space="preserve">                         Servizio psicologico</t>
  </si>
  <si>
    <t>40 h/mese RSA + 10 h/mese CD + PICA</t>
  </si>
  <si>
    <t>Altri servizi di assistenza alla persona</t>
  </si>
  <si>
    <t xml:space="preserve">                         Altri servizi di assistenza alla persona</t>
  </si>
  <si>
    <t>incidenza costo budget: euro 46.528,00 - incidenza costo proiezione: euro 46.430,00</t>
  </si>
  <si>
    <t>incidenza budget</t>
  </si>
  <si>
    <t>Servizio fisioterapico</t>
  </si>
  <si>
    <t>Servizio logopedista</t>
  </si>
  <si>
    <t>meno ore</t>
  </si>
  <si>
    <t>incidenza chiusura</t>
  </si>
  <si>
    <t>Costo retta RSA Covid</t>
  </si>
  <si>
    <t>Oneri sociali serv. assist. alla persona</t>
  </si>
  <si>
    <t>Oneri sociali INPS</t>
  </si>
  <si>
    <t>Servizi in appalto</t>
  </si>
  <si>
    <t>Appalto pulizie</t>
  </si>
  <si>
    <t xml:space="preserve">                         Appalto pulizie</t>
  </si>
  <si>
    <t>+ISTAT-chiusure (incluso 20 gg Nucleo)</t>
  </si>
  <si>
    <t>Aumento 4,3%</t>
  </si>
  <si>
    <t>effettivo + canone luglio X 5 tenuto conto dell'adeguamento dal 18/08</t>
  </si>
  <si>
    <t>effettivo + canone settembre X 4 tenuto conto dell'adeguamento dal 16/09</t>
  </si>
  <si>
    <t>8 mesi canone novembre 2023 + 4 mesi canone gara</t>
  </si>
  <si>
    <t>vari adeguamenti canoni+pulizie straordinarie(NON considerate eventuali penali minor ore anni 2022/2023 e 2024)</t>
  </si>
  <si>
    <t>vari adeguamenti canoni + pulizie straordinarie</t>
  </si>
  <si>
    <t>5.404,60+902,80+3.050,00 = 9.357,40 pulizie straordinarie</t>
  </si>
  <si>
    <t>Appalto lavanderia</t>
  </si>
  <si>
    <t xml:space="preserve">                         Appalto lavanderia</t>
  </si>
  <si>
    <t>/7X12</t>
  </si>
  <si>
    <t>dal 01/09 nuovo contratto</t>
  </si>
  <si>
    <t>Appalto servizio trasporto</t>
  </si>
  <si>
    <t xml:space="preserve">                         Appalto multiservizi</t>
  </si>
  <si>
    <t>Appalto servizio trasporto pasti</t>
  </si>
  <si>
    <t>Appalto servizio smaltimento rifiuti</t>
  </si>
  <si>
    <t>Appalto servizio pulizie aree esterne</t>
  </si>
  <si>
    <t>Appalto servizio lav. vestiario Ospiti</t>
  </si>
  <si>
    <t>Appalto multiservizi</t>
  </si>
  <si>
    <t>confermato budget(/7x12 = euro 19.421,57) (meno ore)</t>
  </si>
  <si>
    <t>confermato budget(/8x12 = euro 19.521,66) (meno ore)</t>
  </si>
  <si>
    <t>in base ad offerta 2024</t>
  </si>
  <si>
    <t>1 semestre x 2</t>
  </si>
  <si>
    <t>/10*12</t>
  </si>
  <si>
    <t>Manutenzioni</t>
  </si>
  <si>
    <t>Manutenzione fabbricati</t>
  </si>
  <si>
    <t>/7x12 (ripristino funzionalità serramenti)</t>
  </si>
  <si>
    <t>/9x12 (ripristino funzionalità serramenti)</t>
  </si>
  <si>
    <t>fatturato al 22/10 compresa quota competenza tinteggiatura+ 2.000,00 varie ed eventuali</t>
  </si>
  <si>
    <t>fatturato al 22/08 + quota competenza tinteggiatura+ 2.000,00 varie ed eventuali</t>
  </si>
  <si>
    <t>Manutenzione giardino e piante</t>
  </si>
  <si>
    <t xml:space="preserve">                         Manutenzione giardino e piante</t>
  </si>
  <si>
    <t>nb: servizio sgombero neve non previsto a budget</t>
  </si>
  <si>
    <t>sgombero neve non previsto a budget</t>
  </si>
  <si>
    <t>sgombero neve e fornitura e messa a dimora fiori stagionali non previsti a budget</t>
  </si>
  <si>
    <t>€ 15.817,30: Cooperativa 90 - resto +2,3% rispetto a chiusura</t>
  </si>
  <si>
    <t>Manutenzione automezzi</t>
  </si>
  <si>
    <t xml:space="preserve">                         Manutenzione automezzi</t>
  </si>
  <si>
    <t>proiezione + revisione + penumatici</t>
  </si>
  <si>
    <t>/7*12 - riparazione turbnia Crafter euro 2.429,67 - riparazione gradino 1.118,74</t>
  </si>
  <si>
    <t>effettivo - riparazione turbnia Crafter euro 2.429,67 - riparazione gradino 1.118,74</t>
  </si>
  <si>
    <t>riparazione turbnia Crafter euro 2.429,67 - riparazione gradino 1.118,74 - scalino 2.217,96</t>
  </si>
  <si>
    <t>Manutenzione attrezzature e arredi</t>
  </si>
  <si>
    <t xml:space="preserve">                         Manutenzione attrezzature e arredi</t>
  </si>
  <si>
    <t>/9*12 ma potrebbe esser meno</t>
  </si>
  <si>
    <t>/6x12</t>
  </si>
  <si>
    <t>/9x12 + riparazione termodisinfettante + riparazione Molinari</t>
  </si>
  <si>
    <t>confermata semestrale+Linet+M.B.</t>
  </si>
  <si>
    <t>Manutenzione macchine ufficio</t>
  </si>
  <si>
    <t>Manutenz. e canoni assistenza hardware</t>
  </si>
  <si>
    <t xml:space="preserve">                         Manutenz. e canoni assistenza hardware</t>
  </si>
  <si>
    <t>Aumento 10%</t>
  </si>
  <si>
    <t>manutenzione server non prevista</t>
  </si>
  <si>
    <t>contratti fino al 31/12/2024</t>
  </si>
  <si>
    <t>Manutenz. e canoni assistenza software</t>
  </si>
  <si>
    <t xml:space="preserve">                         Manutenz. e canoni assistenza software</t>
  </si>
  <si>
    <t>90 ore Delta</t>
  </si>
  <si>
    <t>Aumento 8,6%</t>
  </si>
  <si>
    <t>confermato budget / Delta+CBA+Etour+Trentino Digitale+accessi portale+PagoPa+calcolate metà ore extra Paolino rispetto all'anno scorso = € 43.923,19</t>
  </si>
  <si>
    <t>Delta+CBA+Etour+Trentino Digitale+accessi portale+PagoPa+calcolate metà ore extra Paolino rispetto all'anno scorso</t>
  </si>
  <si>
    <t>€ 8.784,00: Delta - resto +2,3% rispetto a chiusura (software 2.0 € 5.731,56)</t>
  </si>
  <si>
    <t>Manutenzione beni di terzi</t>
  </si>
  <si>
    <t>Manutenzione impianti</t>
  </si>
  <si>
    <t xml:space="preserve">                         Manutenzione impianti</t>
  </si>
  <si>
    <t>Revisione contratti+ varie</t>
  </si>
  <si>
    <t>confermato budget (/7*12=44.200,00)</t>
  </si>
  <si>
    <t>confermato budget (/8*12=39.500,00)</t>
  </si>
  <si>
    <t>ALISEA: 2.074,00 - ENDURANCE: 11.434,50 - SCHINDLER: 2.935,44 - LAGARINA: 7.817,98 (magneti - agg.centralina)</t>
  </si>
  <si>
    <t>Utenze</t>
  </si>
  <si>
    <t>Telefono</t>
  </si>
  <si>
    <t xml:space="preserve">                         Telefono</t>
  </si>
  <si>
    <t>affido Brennercom con risparmio</t>
  </si>
  <si>
    <t>Energia elettrica</t>
  </si>
  <si>
    <t xml:space="preserve">                         Energia elettrica</t>
  </si>
  <si>
    <t>/8x12</t>
  </si>
  <si>
    <t>/9*12 - maggior consumo e maggior costo</t>
  </si>
  <si>
    <t>stimato dicembre come ottobre</t>
  </si>
  <si>
    <t>/7*12 - maggior consumo e maggior costo</t>
  </si>
  <si>
    <t>Gas metano</t>
  </si>
  <si>
    <t xml:space="preserve">                         Gas metano</t>
  </si>
  <si>
    <t>con rilettura</t>
  </si>
  <si>
    <t>Acqua</t>
  </si>
  <si>
    <t xml:space="preserve">                         Acqua</t>
  </si>
  <si>
    <t>non ancora fatturato niente / confermato budget</t>
  </si>
  <si>
    <t>fatturato 1° semestre x 2</t>
  </si>
  <si>
    <t>1° semestre x 2</t>
  </si>
  <si>
    <t>Rifiuti solidi urbani</t>
  </si>
  <si>
    <t xml:space="preserve">                         Rifiuti solidi urbani</t>
  </si>
  <si>
    <t>Smaltimento rifiuti speciali</t>
  </si>
  <si>
    <t xml:space="preserve">                         Smaltimento rifiuti speciali</t>
  </si>
  <si>
    <t>da contratto</t>
  </si>
  <si>
    <t>nuovo contratto dal 01/02</t>
  </si>
  <si>
    <t>effettivo + dicembre</t>
  </si>
  <si>
    <t>Teleriscaldamento</t>
  </si>
  <si>
    <t xml:space="preserve">                         Teleriscaldamento</t>
  </si>
  <si>
    <t>Emergenza energetica</t>
  </si>
  <si>
    <t>Teleraffrescamento</t>
  </si>
  <si>
    <t xml:space="preserve">                         Teleraffrescamento</t>
  </si>
  <si>
    <t>effettivo + agosto=luglio + media fino a giugno x 4</t>
  </si>
  <si>
    <t>/9x12 (verifica semestrale errore materiale)</t>
  </si>
  <si>
    <t>stimato dicembre come novembre</t>
  </si>
  <si>
    <t>Consulenze e collaborazioni</t>
  </si>
  <si>
    <t>Consulenze</t>
  </si>
  <si>
    <t>Consulenze specialistiche mediche</t>
  </si>
  <si>
    <t xml:space="preserve">                         Consulenze specialistiche mediche</t>
  </si>
  <si>
    <t>Consulenze tecniche</t>
  </si>
  <si>
    <t>Consulenze igiene e sicurezza</t>
  </si>
  <si>
    <t xml:space="preserve">                         Consulenze igiene e sicurezza</t>
  </si>
  <si>
    <t>DMOX maggiori analisi € 1.098; risconto CPI € 900</t>
  </si>
  <si>
    <t>Legionella</t>
  </si>
  <si>
    <t>vedi file conteggi / confermata semestrale</t>
  </si>
  <si>
    <t>da file conteggi</t>
  </si>
  <si>
    <t>Consulenze informatiche</t>
  </si>
  <si>
    <t>Consulenze amministrative e gestionali</t>
  </si>
  <si>
    <t xml:space="preserve">                         Consulenze amministrative e gestionali</t>
  </si>
  <si>
    <t>Consulenze gestione qualità</t>
  </si>
  <si>
    <t>Consulenze formazione</t>
  </si>
  <si>
    <t>Consulenze legali</t>
  </si>
  <si>
    <t xml:space="preserve">                         Consulenze legali</t>
  </si>
  <si>
    <t>Consulenze progetti innovativi</t>
  </si>
  <si>
    <t>Consulenze privacy</t>
  </si>
  <si>
    <t xml:space="preserve">                         Consulenze privacy</t>
  </si>
  <si>
    <t>a budget previsto aumento del 6%</t>
  </si>
  <si>
    <t>DPO</t>
  </si>
  <si>
    <t>Collaborazioni</t>
  </si>
  <si>
    <t>Prestazioni occasionali</t>
  </si>
  <si>
    <t>Comitati</t>
  </si>
  <si>
    <t>Comitato etico</t>
  </si>
  <si>
    <t>per anno 2024 non previsto</t>
  </si>
  <si>
    <t>Organi istituzionali</t>
  </si>
  <si>
    <t>Organi isituzionali</t>
  </si>
  <si>
    <t>Compensi indennità amministratori</t>
  </si>
  <si>
    <t xml:space="preserve">                         Compensi indennità amministratori</t>
  </si>
  <si>
    <t>compensi adeguati all'adeguamento contrattuale</t>
  </si>
  <si>
    <t>Oneri sociali amministratori</t>
  </si>
  <si>
    <t xml:space="preserve">                         Oneri sociali amministratori</t>
  </si>
  <si>
    <t>Inail amministratori</t>
  </si>
  <si>
    <t>Compensi revisori dei conti</t>
  </si>
  <si>
    <t xml:space="preserve">                         Compensi revisore</t>
  </si>
  <si>
    <t>Oneri sociali revisori dei conti</t>
  </si>
  <si>
    <t>Inail revisori dei conti</t>
  </si>
  <si>
    <t>Rimborso spese amministratori</t>
  </si>
  <si>
    <t>Spese formazione amministratori</t>
  </si>
  <si>
    <t>Servizi diversi</t>
  </si>
  <si>
    <t>Assicurazioni</t>
  </si>
  <si>
    <t xml:space="preserve">                         Assicurazioni</t>
  </si>
  <si>
    <t>da preventivo</t>
  </si>
  <si>
    <t>effettivo pagato</t>
  </si>
  <si>
    <t>previsto regolazione premio di euro 4.200,00 come anno scorso</t>
  </si>
  <si>
    <t>Spese per concorsi</t>
  </si>
  <si>
    <t xml:space="preserve">                         Spese per concorsi</t>
  </si>
  <si>
    <t>Altre spese per servizi</t>
  </si>
  <si>
    <t>Spese per gare ed appalti</t>
  </si>
  <si>
    <t>confermato budget - vedi con Selene - ad oggi euro 70,00</t>
  </si>
  <si>
    <t>Spese per certificazione e qualità</t>
  </si>
  <si>
    <t xml:space="preserve">                         Spese per certificazione e qualità</t>
  </si>
  <si>
    <t>Quattrini+Marchio Q&amp;B+Dasa</t>
  </si>
  <si>
    <t>(valutazione Family+Dasa+Marchio) in più consolidamento Family Audit</t>
  </si>
  <si>
    <t>marchio Q&amp;B - Indicare Salute - Dasa - Family Audit</t>
  </si>
  <si>
    <t>marchio Q&amp;B - Dasa - Family Audit</t>
  </si>
  <si>
    <t>Spese per Servizio Occhio alla Salute</t>
  </si>
  <si>
    <t>ecografo + assicurazione + spese varie (uguale ad entrate)</t>
  </si>
  <si>
    <t>Spese per servizi diversi</t>
  </si>
  <si>
    <t>scia o altre spese tecniche</t>
  </si>
  <si>
    <t>VIII) Godimento di beni di terzi</t>
  </si>
  <si>
    <t>Godimento di beni di terzi</t>
  </si>
  <si>
    <t>Affitto e noleggio beni mobili</t>
  </si>
  <si>
    <t>Noleggio autovetture</t>
  </si>
  <si>
    <t>Noleggio attrezzature diverse</t>
  </si>
  <si>
    <t>Locazione finanziaria</t>
  </si>
  <si>
    <t>Canoni leasing</t>
  </si>
  <si>
    <t>IV) Costo per il personale</t>
  </si>
  <si>
    <t>budget: previste n. 228,08 unità - proiezione: n. 219,28 unità: € -358.952,68</t>
  </si>
  <si>
    <t>budget: previste n. 228,08 unità - proiezione: n. 219,24 unità: € -334.630,46</t>
  </si>
  <si>
    <t>a) Salari e stipendi</t>
  </si>
  <si>
    <t>FOREG (conteggio corretto / 0,5 / oneri): € + 49.543,11</t>
  </si>
  <si>
    <t>Stipendi personale</t>
  </si>
  <si>
    <t xml:space="preserve">                         Stipendi personale</t>
  </si>
  <si>
    <t>Sospensioni, aus vs OSS, aspettative non retribuite, carenza….</t>
  </si>
  <si>
    <t>di cui € 50.000 rateo ferie</t>
  </si>
  <si>
    <t>rateo ferie € 25.000,00 - conguaglio DIR € 40.554,00 - indennità risultato/varie € 65.913,00)</t>
  </si>
  <si>
    <t>rateo ferie € 25.000,00 - conguaglio DIR € 40.554,00 - indennità risultato/varie € 65.913,00) + una tantum € 136.192,73</t>
  </si>
  <si>
    <t>vedi conteggio altro file</t>
  </si>
  <si>
    <t>b) Oneri sociali</t>
  </si>
  <si>
    <t>Oneri sociali stipendi personale</t>
  </si>
  <si>
    <t>Oneri sociali</t>
  </si>
  <si>
    <t xml:space="preserve">                         Oneri sociali</t>
  </si>
  <si>
    <t>PROGRESSIONI</t>
  </si>
  <si>
    <t>Oneri sociali costi straord. personale</t>
  </si>
  <si>
    <t>Oneri sociali fondo produttività</t>
  </si>
  <si>
    <t>Oneri sociali lavoro straordinario</t>
  </si>
  <si>
    <t>Oneri sociali personale cessato</t>
  </si>
  <si>
    <t>c) Trattamento di fine rapporto</t>
  </si>
  <si>
    <t>T.F.R. personale</t>
  </si>
  <si>
    <t xml:space="preserve">                         T.F.R. personale</t>
  </si>
  <si>
    <t>Tasso rivalutazione TFR stimato 31/12 ___%</t>
  </si>
  <si>
    <t>Rivalutazione 4,3%</t>
  </si>
  <si>
    <t>rivalutazione al 2,0150% (file conteggi)</t>
  </si>
  <si>
    <t>rivalutazione al 2,30% (file conteggi)</t>
  </si>
  <si>
    <t>in base al coefficiente</t>
  </si>
  <si>
    <t>e) Altri costi</t>
  </si>
  <si>
    <t>Altri costi personale</t>
  </si>
  <si>
    <t>Spese per visite mediche dipendenti</t>
  </si>
  <si>
    <t xml:space="preserve">                         Spese per visite mediche dipendenti</t>
  </si>
  <si>
    <t>Spese per formazione del personale</t>
  </si>
  <si>
    <t xml:space="preserve">                         Spese per formazione del personale</t>
  </si>
  <si>
    <t>confermato budget (ad oggi € 11.986,15)</t>
  </si>
  <si>
    <t>confermato budget (ad oggi € 12.529,15)</t>
  </si>
  <si>
    <t>Rimborso iscrizione albo professionale</t>
  </si>
  <si>
    <t xml:space="preserve">                         Rimborso iscrizione albo professionale</t>
  </si>
  <si>
    <t>Lavoro straordinario</t>
  </si>
  <si>
    <t xml:space="preserve">                         Lavoro straordinario</t>
  </si>
  <si>
    <t>NETTO ONERI</t>
  </si>
  <si>
    <t>Indennità e rimborsi spese personale</t>
  </si>
  <si>
    <t xml:space="preserve">                         Indennità e rimborsi spese personale</t>
  </si>
  <si>
    <t>Rimborsi distacchi sindacali</t>
  </si>
  <si>
    <t>Contrib. per f.do pensione complementare</t>
  </si>
  <si>
    <t xml:space="preserve">                         Contrib. per f.do pensione complementare</t>
  </si>
  <si>
    <t>Spesa progetti innovativi</t>
  </si>
  <si>
    <t>Supporto UPIPA ufficio contabilità</t>
  </si>
  <si>
    <t>Supporto UPIPA dal 01/01 al 30/06 per 2 v sett. pari a 48 accessi + Indicare Salute</t>
  </si>
  <si>
    <t>a budget non previsto supporto UPIPA dal 01/07 al 31/12</t>
  </si>
  <si>
    <t>Indicare Salute</t>
  </si>
  <si>
    <t>Sanifonds</t>
  </si>
  <si>
    <t xml:space="preserve">                         Sanifonds</t>
  </si>
  <si>
    <t>Personale in comando</t>
  </si>
  <si>
    <t>Spese per servizi in forma associata</t>
  </si>
  <si>
    <t>per 11 mesi</t>
  </si>
  <si>
    <t>13 mensilità Sabrina</t>
  </si>
  <si>
    <t>(con 13 mensilità) da febbraio Sabrina</t>
  </si>
  <si>
    <t>gennaio 2024 Sabrina</t>
  </si>
  <si>
    <t>APSP Folgaria</t>
  </si>
  <si>
    <t>V) Ammortamenti e svalutazioni</t>
  </si>
  <si>
    <t>Acquisto beni mobili con fondi ente (no bando domande di contributo)</t>
  </si>
  <si>
    <t>incidenza costo budget: 138.060,00</t>
  </si>
  <si>
    <t>CONFERMATA SEMESTRALE incidenza costo budget: 138.060,00</t>
  </si>
  <si>
    <t>incidenza costo budget 115.500,00</t>
  </si>
  <si>
    <t>Ammortamenti</t>
  </si>
  <si>
    <t>incidenza costo verifica: 126.910,00</t>
  </si>
  <si>
    <t>incidenza chiusura 127.776,85</t>
  </si>
  <si>
    <t>incidenza costo chiusura presunta 124.800</t>
  </si>
  <si>
    <t>a) Ammortamento immobil. immateriali</t>
  </si>
  <si>
    <t>Amm.to costi di impianto</t>
  </si>
  <si>
    <t>Amm.to costi di ampliamento</t>
  </si>
  <si>
    <t>Amm.to manut. straord. su beni di terzi</t>
  </si>
  <si>
    <t>Amm.to manut. straord. su beni propri</t>
  </si>
  <si>
    <t>Amm.to costi di pubblicità pluriennali</t>
  </si>
  <si>
    <t>Amm.to software e licenze</t>
  </si>
  <si>
    <t>b) Ammortamento immobil. materiali</t>
  </si>
  <si>
    <t>Ammortamento fabbricati istituzionali</t>
  </si>
  <si>
    <t>Ammortamento fabbricati abitativi</t>
  </si>
  <si>
    <t>Ammortamento impianti e macch. specifici</t>
  </si>
  <si>
    <t>Ammortamento impianti e macch. generici</t>
  </si>
  <si>
    <t>compreso rilevazione fumi e lampade (per tutto l'anno)</t>
  </si>
  <si>
    <t>rilevatori di fumo</t>
  </si>
  <si>
    <t>Ammortamento terreni</t>
  </si>
  <si>
    <t>Ammortamento attrezzatura sanitaria</t>
  </si>
  <si>
    <t>+ € 500,00 varie</t>
  </si>
  <si>
    <t>Ammortamento attrezzatura assistenziale</t>
  </si>
  <si>
    <t>imbragature - vasca clinica</t>
  </si>
  <si>
    <t>Ammortamento attrezzatura fisioterapica</t>
  </si>
  <si>
    <t>Ammortamento attrezzatura cucina</t>
  </si>
  <si>
    <t>cucinatore - espositori - lavelli</t>
  </si>
  <si>
    <t>Amm.to attr. guardaroba-lavanderia</t>
  </si>
  <si>
    <t>Ammortamento attrezzatura varia</t>
  </si>
  <si>
    <t>Ammortamento mobili e arredi</t>
  </si>
  <si>
    <t>aggiungere nuovi letti?</t>
  </si>
  <si>
    <t>+ € 1.000,00 letti</t>
  </si>
  <si>
    <t>letti - box doccia - branda - corrimano - gazebo - scrivania</t>
  </si>
  <si>
    <t>Ammortamento mobili e arredi cucina</t>
  </si>
  <si>
    <t>Ammortamento mobili e arredi ufficio</t>
  </si>
  <si>
    <t>Ammortamento macchine ordin. d'ufficio</t>
  </si>
  <si>
    <t>Ammortamento macchine elettr. d'ufficio</t>
  </si>
  <si>
    <t>+ € 900,00 PC</t>
  </si>
  <si>
    <t>Ammortamento biancheria</t>
  </si>
  <si>
    <t>Amm.to automezzi e veicoli da trasporto</t>
  </si>
  <si>
    <t>Ammortamento altri beni materiali</t>
  </si>
  <si>
    <t>Ammortamento attrezzatura tecnica</t>
  </si>
  <si>
    <t>VI) Accantonamenti per rischi</t>
  </si>
  <si>
    <t>Accantonamento svalutazione crediti</t>
  </si>
  <si>
    <t>Rete Sociale Comunità di Valle - anno 2014 - Crediti v/C4 per rimborsi</t>
  </si>
  <si>
    <t>Accantonamento per rischi diversi</t>
  </si>
  <si>
    <t>Acc.to per rischi controversie legali</t>
  </si>
  <si>
    <t>Acc.to per rischi diversi</t>
  </si>
  <si>
    <t>5% importo V variante lavori di ristrutturaizone</t>
  </si>
  <si>
    <t>Acc.to f.do integraz. rette (art. 7 bis)</t>
  </si>
  <si>
    <t>Acc.to rischi recupero forniture APSS</t>
  </si>
  <si>
    <t>Accantonamenti oneri personale</t>
  </si>
  <si>
    <t>Acc.to fondo produttività</t>
  </si>
  <si>
    <t>Acc.to rinnovo contrattuale</t>
  </si>
  <si>
    <t>Acc.to progressioni orizzontali</t>
  </si>
  <si>
    <t>Accantonamento FOREG</t>
  </si>
  <si>
    <t xml:space="preserve">          VI) FOREG</t>
  </si>
  <si>
    <t>0,5% del monte salari</t>
  </si>
  <si>
    <t>0,5% del monte salari 2023 + quota 424,00 non prevista</t>
  </si>
  <si>
    <t>Accantonamenti diversi</t>
  </si>
  <si>
    <t>Acc.to manutenzioni straordinarie</t>
  </si>
  <si>
    <t>XIV) Oneri diversi di gestione</t>
  </si>
  <si>
    <t>Oneri diversi di gestione</t>
  </si>
  <si>
    <t xml:space="preserve">               Oneri diversi di gestione</t>
  </si>
  <si>
    <t>Imposte e tasse</t>
  </si>
  <si>
    <t xml:space="preserve">                    Imposte e tasse</t>
  </si>
  <si>
    <t>Imposta di bollo</t>
  </si>
  <si>
    <t>Imposta di registro</t>
  </si>
  <si>
    <t>Tasse di circolazione automezzi</t>
  </si>
  <si>
    <t xml:space="preserve">                         Tasse di circolazione automezzi</t>
  </si>
  <si>
    <t>Iva indetraibile pro-rata</t>
  </si>
  <si>
    <t>Tassa di concessione governativa</t>
  </si>
  <si>
    <t xml:space="preserve">                         Tassa di concessione governativa</t>
  </si>
  <si>
    <t>Imposte e tasse diverse</t>
  </si>
  <si>
    <t>Altri oneri di gestione</t>
  </si>
  <si>
    <t xml:space="preserve">                    Altri oneri di gestione</t>
  </si>
  <si>
    <t>Spese di rappresentanza</t>
  </si>
  <si>
    <t xml:space="preserve">                         Spese di rappresentanza</t>
  </si>
  <si>
    <t>volume tomba Montel</t>
  </si>
  <si>
    <t>risconto Volume Tomba Montel</t>
  </si>
  <si>
    <t>Oneri bancari</t>
  </si>
  <si>
    <t xml:space="preserve">                         Oneri bancari</t>
  </si>
  <si>
    <t>Giornali, riviste e pubblicazioni</t>
  </si>
  <si>
    <t xml:space="preserve">                         Giornali, riviste e pubblicazioni</t>
  </si>
  <si>
    <t>abbonamenti 2024</t>
  </si>
  <si>
    <t>Quota adesione associazioni di categoria</t>
  </si>
  <si>
    <t xml:space="preserve">                         Quota adesione associazioni di categoria</t>
  </si>
  <si>
    <t>+10%</t>
  </si>
  <si>
    <t>Arrotondamenti passivi</t>
  </si>
  <si>
    <t xml:space="preserve">                         Arrotondamenti passivi</t>
  </si>
  <si>
    <t>Perdite su crediti</t>
  </si>
  <si>
    <t>Oneri di gestione vari</t>
  </si>
  <si>
    <t xml:space="preserve">                         Oneri di gestione vari</t>
  </si>
  <si>
    <t>RIMBORSI SPESE OSPITI + PC LONGO+ SPESE FIORI CIMITERI</t>
  </si>
  <si>
    <t>verificare con Lucia (oneri e rimborsi) - (/7*12)</t>
  </si>
  <si>
    <t>Spese per valori bollati</t>
  </si>
  <si>
    <t xml:space="preserve">                         Spese per valori bollati</t>
  </si>
  <si>
    <t>Spese risarcimento danni Ospiti</t>
  </si>
  <si>
    <t>euro 1.500,00: n. 3 franchigie assicurazione</t>
  </si>
  <si>
    <t>confermato budget - ad oggi euro 1.204,88</t>
  </si>
  <si>
    <t>confermato budget - ad oggi euro1.504,88</t>
  </si>
  <si>
    <t>Spese legali</t>
  </si>
  <si>
    <t xml:space="preserve">                         Spese legali</t>
  </si>
  <si>
    <t>Contenzioso lavoro (verificare costo ricusazione)</t>
  </si>
  <si>
    <t>Tamanini = ricavi</t>
  </si>
  <si>
    <t>Verbale di pubblicazione di testamento olografo.</t>
  </si>
  <si>
    <t>Sopravv. passive in gestione ordinaria</t>
  </si>
  <si>
    <t xml:space="preserve">                         Sopravv. passive in gestione ordinaria</t>
  </si>
  <si>
    <t>credito progetti non stornato - compensi amministratori - acquisto rif. A bolla anno 2022</t>
  </si>
  <si>
    <t>credito progetti non stornato - compensi amministratori - acquisto rif. A bolla anno 2022 - rimborso gare Levico 2022</t>
  </si>
  <si>
    <t>ad oggi: servizio tesoreria 01/05/2023-31/12/2023+avvisi bonari</t>
  </si>
  <si>
    <t>ad oggi: servizio tesoreria 01/05/2023-31/12/2023+avvisi bonari+arretrati consiglieri</t>
  </si>
  <si>
    <t>servizio tesoreria 01/05/2023-31/12/2023+avvisi bonari+arretrati consiglieri</t>
  </si>
  <si>
    <t>ad oggi: servizio tesoreria 01/05/2023-31/12/2023</t>
  </si>
  <si>
    <t>Insussistenza dell'attivo in gestione ordinaria</t>
  </si>
  <si>
    <t>DIFFERENZA tra VALORE e COSTI di PRODUZIONE (A-B)</t>
  </si>
  <si>
    <t>C) PROVENTI ED ONERI FINANZIARI</t>
  </si>
  <si>
    <t>XVI) Proventi finanziari</t>
  </si>
  <si>
    <t>Proventi finanziari</t>
  </si>
  <si>
    <t>Proventi da partecipazioni</t>
  </si>
  <si>
    <t>Dividendi</t>
  </si>
  <si>
    <t>Interessi attivi su conto corrente</t>
  </si>
  <si>
    <t>I e II trimestre per due</t>
  </si>
  <si>
    <t>I - II e III trimestre /3x4</t>
  </si>
  <si>
    <t>/3*4</t>
  </si>
  <si>
    <t>1°e 2° trimestre € 24.740,45</t>
  </si>
  <si>
    <t>1° trimestre € 13.264,23</t>
  </si>
  <si>
    <t>Interessi attivi da titoli ed obbligaz.</t>
  </si>
  <si>
    <t>Plusvalenza da vendita titoli</t>
  </si>
  <si>
    <t>Proventi da rivalutaz. gestione patrim.</t>
  </si>
  <si>
    <t>Aggio su acquisto titoli</t>
  </si>
  <si>
    <t>XVII) Int. ed altri oneri finanziari</t>
  </si>
  <si>
    <t>Interessi passivi</t>
  </si>
  <si>
    <t>Interessi passivi su mutui</t>
  </si>
  <si>
    <t>Interessi passivi bancari</t>
  </si>
  <si>
    <t xml:space="preserve">                    Interessi passivi bancari</t>
  </si>
  <si>
    <t>chiesti in cassa rurale</t>
  </si>
  <si>
    <t>Altri interessi passivi</t>
  </si>
  <si>
    <t xml:space="preserve">                    Altri interessi passivi</t>
  </si>
  <si>
    <t>Interessi passivi fornitori</t>
  </si>
  <si>
    <t xml:space="preserve">                         Interessi passivi fornitori</t>
  </si>
  <si>
    <t>interessi su contributo energia PAT</t>
  </si>
  <si>
    <t>Altri oneri finanziari</t>
  </si>
  <si>
    <t>Minusvalenze da alienazione titoli</t>
  </si>
  <si>
    <t>Disaggio di acquisto titoli</t>
  </si>
  <si>
    <t>RISULTATO PRIMA DELLE IMPOSTE</t>
  </si>
  <si>
    <t>F) IMPOSTE SUL REDDITO DELL'ESERCIZIO</t>
  </si>
  <si>
    <t>Imposte sul reddito dell'esercizio</t>
  </si>
  <si>
    <t>IRES</t>
  </si>
  <si>
    <t>Maggior costo per generi alimentari, Teleriscaldamento e TFR</t>
  </si>
  <si>
    <t>G) UTILE (PERDITA) DELL'ESERCIZIO</t>
  </si>
  <si>
    <t>Utile (Perdita) dell'esercizio</t>
  </si>
  <si>
    <t>Utile dell'esercizio</t>
  </si>
  <si>
    <t>Utile dell'esercizio economico</t>
  </si>
  <si>
    <t>Perdita dell'esercizio</t>
  </si>
  <si>
    <t>Perdita dell'esercizio ecomonico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</si>
</sst>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_-* #,##0.00\ _€_-;\-* #,##0.00\ _€_-;_-* &quot;-&quot;??\ _€_-;_-@_-"/>
    <numFmt numFmtId="166" formatCode="_-* #,##0.00\ [$€-410]_-;\-* #,##0.00\ [$€-410]_-;_-* &quot;-&quot;??\ [$€-410]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name val="Calibri"/>
      <family val="2"/>
    </font>
    <font>
      <b/>
      <sz val="13"/>
      <color rgb="FFFF0000"/>
      <name val="Calibri"/>
      <family val="2"/>
    </font>
    <font>
      <sz val="13"/>
      <name val="Calibri"/>
      <family val="2"/>
    </font>
    <font>
      <b/>
      <sz val="10"/>
      <name val="Calibri"/>
      <family val="2"/>
    </font>
    <font>
      <b/>
      <i/>
      <sz val="11"/>
      <name val="Calibri"/>
      <family val="2"/>
    </font>
    <font>
      <b/>
      <i/>
      <sz val="13"/>
      <name val="Calibri"/>
      <family val="2"/>
    </font>
    <font>
      <b/>
      <i/>
      <sz val="10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  <font>
      <i/>
      <sz val="13"/>
      <name val="Calibri"/>
      <family val="2"/>
    </font>
    <font>
      <i/>
      <sz val="10"/>
      <name val="Calibri"/>
      <family val="2"/>
    </font>
    <font>
      <sz val="13"/>
      <color theme="1"/>
      <name val="Calibri"/>
      <family val="2"/>
    </font>
    <font>
      <sz val="10"/>
      <name val="Calibri"/>
      <family val="2"/>
    </font>
    <font>
      <sz val="11"/>
      <name val="Calibri"/>
      <family val="2"/>
    </font>
    <font>
      <sz val="12"/>
      <name val="Calibri"/>
      <family val="2"/>
    </font>
    <font>
      <i/>
      <sz val="13"/>
      <color theme="1"/>
      <name val="Calibri"/>
      <family val="2"/>
    </font>
    <font>
      <sz val="9"/>
      <name val="Calibri"/>
      <family val="2"/>
    </font>
    <font>
      <sz val="13"/>
      <color rgb="FFFF0000"/>
      <name val="Calibri"/>
      <family val="2"/>
    </font>
    <font>
      <b/>
      <sz val="13"/>
      <color theme="1"/>
      <name val="Calibri"/>
      <family val="2"/>
    </font>
    <font>
      <i/>
      <sz val="8"/>
      <name val="Calibri"/>
      <family val="2"/>
    </font>
    <font>
      <sz val="8"/>
      <name val="Calibri"/>
      <family val="2"/>
    </font>
  </fonts>
  <fills count="22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1" fillId="0" borderId="0"/>
  </cellStyleXfs>
  <cellXfs count="281">
    <xf numFmtId="0" fontId="0" fillId="0" borderId="0" xfId="0"/>
    <xf numFmtId="49" fontId="4" fillId="2" borderId="1" xfId="2" applyNumberFormat="1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164" fontId="4" fillId="3" borderId="1" xfId="2" applyNumberFormat="1" applyFont="1" applyFill="1" applyBorder="1" applyAlignment="1">
      <alignment horizontal="center" vertical="center" wrapText="1"/>
    </xf>
    <xf numFmtId="164" fontId="5" fillId="3" borderId="1" xfId="2" applyNumberFormat="1" applyFont="1" applyFill="1" applyBorder="1" applyAlignment="1">
      <alignment horizontal="center" vertical="center" wrapText="1"/>
    </xf>
    <xf numFmtId="44" fontId="4" fillId="3" borderId="1" xfId="2" applyNumberFormat="1" applyFont="1" applyFill="1" applyBorder="1" applyAlignment="1">
      <alignment horizontal="center" vertical="center" wrapText="1"/>
    </xf>
    <xf numFmtId="44" fontId="6" fillId="3" borderId="1" xfId="2" applyNumberFormat="1" applyFont="1" applyFill="1" applyBorder="1" applyAlignment="1">
      <alignment horizontal="center" vertical="center"/>
    </xf>
    <xf numFmtId="44" fontId="7" fillId="3" borderId="1" xfId="2" applyNumberFormat="1" applyFont="1" applyFill="1" applyBorder="1" applyAlignment="1">
      <alignment horizontal="center" vertical="center" wrapText="1"/>
    </xf>
    <xf numFmtId="44" fontId="8" fillId="3" borderId="1" xfId="2" applyNumberFormat="1" applyFont="1" applyFill="1" applyBorder="1" applyAlignment="1">
      <alignment horizontal="center" vertical="center" wrapText="1"/>
    </xf>
    <xf numFmtId="44" fontId="9" fillId="3" borderId="1" xfId="2" applyNumberFormat="1" applyFont="1" applyFill="1" applyBorder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44" fontId="4" fillId="3" borderId="2" xfId="2" applyNumberFormat="1" applyFont="1" applyFill="1" applyBorder="1" applyAlignment="1">
      <alignment horizontal="center" vertical="center" wrapText="1"/>
    </xf>
    <xf numFmtId="44" fontId="10" fillId="3" borderId="3" xfId="2" applyNumberFormat="1" applyFont="1" applyFill="1" applyBorder="1" applyAlignment="1">
      <alignment horizontal="center" vertical="center" wrapText="1"/>
    </xf>
    <xf numFmtId="44" fontId="10" fillId="3" borderId="1" xfId="2" applyNumberFormat="1" applyFont="1" applyFill="1" applyBorder="1" applyAlignment="1">
      <alignment horizontal="center" vertical="center" wrapText="1"/>
    </xf>
    <xf numFmtId="44" fontId="11" fillId="3" borderId="1" xfId="2" applyNumberFormat="1" applyFont="1" applyFill="1" applyBorder="1" applyAlignment="1">
      <alignment horizontal="center" vertical="center" wrapText="1"/>
    </xf>
    <xf numFmtId="44" fontId="12" fillId="3" borderId="1" xfId="2" applyNumberFormat="1" applyFont="1" applyFill="1" applyBorder="1" applyAlignment="1">
      <alignment horizontal="center" vertical="center" wrapText="1"/>
    </xf>
    <xf numFmtId="44" fontId="7" fillId="3" borderId="0" xfId="2" applyNumberFormat="1" applyFont="1" applyFill="1" applyAlignment="1">
      <alignment horizontal="center" vertical="center" wrapText="1"/>
    </xf>
    <xf numFmtId="165" fontId="6" fillId="0" borderId="0" xfId="2" applyNumberFormat="1" applyFont="1" applyAlignment="1">
      <alignment horizontal="center" vertical="center"/>
    </xf>
    <xf numFmtId="49" fontId="4" fillId="4" borderId="1" xfId="2" applyNumberFormat="1" applyFont="1" applyFill="1" applyBorder="1" applyAlignment="1">
      <alignment vertical="center"/>
    </xf>
    <xf numFmtId="49" fontId="9" fillId="4" borderId="1" xfId="2" applyNumberFormat="1" applyFont="1" applyFill="1" applyBorder="1" applyAlignment="1">
      <alignment vertical="center"/>
    </xf>
    <xf numFmtId="164" fontId="4" fillId="4" borderId="1" xfId="2" applyNumberFormat="1" applyFont="1" applyFill="1" applyBorder="1" applyAlignment="1">
      <alignment vertical="center"/>
    </xf>
    <xf numFmtId="164" fontId="4" fillId="5" borderId="1" xfId="2" applyNumberFormat="1" applyFont="1" applyFill="1" applyBorder="1" applyAlignment="1">
      <alignment vertical="center"/>
    </xf>
    <xf numFmtId="164" fontId="4" fillId="4" borderId="1" xfId="2" applyNumberFormat="1" applyFont="1" applyFill="1" applyBorder="1" applyAlignment="1">
      <alignment vertical="center" wrapText="1"/>
    </xf>
    <xf numFmtId="164" fontId="4" fillId="6" borderId="1" xfId="2" applyNumberFormat="1" applyFont="1" applyFill="1" applyBorder="1" applyAlignment="1">
      <alignment vertical="center"/>
    </xf>
    <xf numFmtId="164" fontId="4" fillId="6" borderId="1" xfId="2" applyNumberFormat="1" applyFont="1" applyFill="1" applyBorder="1" applyAlignment="1">
      <alignment vertical="center" wrapText="1"/>
    </xf>
    <xf numFmtId="44" fontId="4" fillId="4" borderId="1" xfId="2" applyNumberFormat="1" applyFont="1" applyFill="1" applyBorder="1" applyAlignment="1">
      <alignment vertical="center"/>
    </xf>
    <xf numFmtId="44" fontId="7" fillId="4" borderId="1" xfId="2" applyNumberFormat="1" applyFont="1" applyFill="1" applyBorder="1" applyAlignment="1">
      <alignment vertical="center"/>
    </xf>
    <xf numFmtId="44" fontId="8" fillId="4" borderId="1" xfId="2" applyNumberFormat="1" applyFont="1" applyFill="1" applyBorder="1" applyAlignment="1">
      <alignment vertical="center"/>
    </xf>
    <xf numFmtId="44" fontId="9" fillId="4" borderId="1" xfId="2" applyNumberFormat="1" applyFont="1" applyFill="1" applyBorder="1" applyAlignment="1">
      <alignment vertical="center"/>
    </xf>
    <xf numFmtId="44" fontId="4" fillId="0" borderId="0" xfId="2" applyNumberFormat="1" applyFont="1" applyAlignment="1">
      <alignment vertical="center"/>
    </xf>
    <xf numFmtId="0" fontId="3" fillId="0" borderId="4" xfId="2" applyBorder="1" applyAlignment="1">
      <alignment vertical="center" wrapText="1"/>
    </xf>
    <xf numFmtId="44" fontId="13" fillId="4" borderId="1" xfId="2" applyNumberFormat="1" applyFont="1" applyFill="1" applyBorder="1" applyAlignment="1">
      <alignment vertical="center"/>
    </xf>
    <xf numFmtId="44" fontId="13" fillId="0" borderId="1" xfId="2" applyNumberFormat="1" applyFont="1" applyBorder="1" applyAlignment="1">
      <alignment vertical="center"/>
    </xf>
    <xf numFmtId="44" fontId="14" fillId="0" borderId="1" xfId="2" applyNumberFormat="1" applyFont="1" applyBorder="1" applyAlignment="1">
      <alignment vertical="center"/>
    </xf>
    <xf numFmtId="44" fontId="15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165" fontId="4" fillId="0" borderId="0" xfId="2" applyNumberFormat="1" applyFont="1" applyAlignment="1">
      <alignment vertical="center"/>
    </xf>
    <xf numFmtId="44" fontId="14" fillId="0" borderId="0" xfId="2" applyNumberFormat="1" applyFont="1" applyAlignment="1">
      <alignment vertical="center"/>
    </xf>
    <xf numFmtId="49" fontId="4" fillId="0" borderId="1" xfId="2" applyNumberFormat="1" applyFont="1" applyBorder="1" applyAlignment="1">
      <alignment vertical="center"/>
    </xf>
    <xf numFmtId="49" fontId="4" fillId="0" borderId="5" xfId="2" applyNumberFormat="1" applyFont="1" applyBorder="1" applyAlignment="1">
      <alignment vertical="center"/>
    </xf>
    <xf numFmtId="49" fontId="4" fillId="4" borderId="3" xfId="2" applyNumberFormat="1" applyFont="1" applyFill="1" applyBorder="1" applyAlignment="1">
      <alignment vertical="center"/>
    </xf>
    <xf numFmtId="0" fontId="4" fillId="0" borderId="1" xfId="2" applyFont="1" applyBorder="1" applyAlignment="1">
      <alignment vertical="center"/>
    </xf>
    <xf numFmtId="0" fontId="4" fillId="0" borderId="5" xfId="2" applyFont="1" applyBorder="1" applyAlignment="1">
      <alignment vertical="center"/>
    </xf>
    <xf numFmtId="0" fontId="4" fillId="0" borderId="6" xfId="2" applyFont="1" applyBorder="1" applyAlignment="1">
      <alignment vertical="center"/>
    </xf>
    <xf numFmtId="0" fontId="9" fillId="0" borderId="6" xfId="2" applyFont="1" applyBorder="1" applyAlignment="1">
      <alignment vertical="center"/>
    </xf>
    <xf numFmtId="0" fontId="4" fillId="0" borderId="3" xfId="2" applyFont="1" applyBorder="1" applyAlignment="1">
      <alignment vertical="center"/>
    </xf>
    <xf numFmtId="164" fontId="4" fillId="0" borderId="1" xfId="2" applyNumberFormat="1" applyFont="1" applyBorder="1" applyAlignment="1">
      <alignment vertical="center"/>
    </xf>
    <xf numFmtId="164" fontId="4" fillId="0" borderId="1" xfId="2" applyNumberFormat="1" applyFont="1" applyBorder="1" applyAlignment="1">
      <alignment vertical="center" wrapText="1"/>
    </xf>
    <xf numFmtId="44" fontId="4" fillId="0" borderId="1" xfId="2" applyNumberFormat="1" applyFont="1" applyBorder="1" applyAlignment="1">
      <alignment vertical="center"/>
    </xf>
    <xf numFmtId="44" fontId="7" fillId="0" borderId="1" xfId="2" applyNumberFormat="1" applyFont="1" applyBorder="1" applyAlignment="1">
      <alignment vertical="center"/>
    </xf>
    <xf numFmtId="44" fontId="9" fillId="4" borderId="4" xfId="2" applyNumberFormat="1" applyFont="1" applyFill="1" applyBorder="1" applyAlignment="1">
      <alignment vertical="center"/>
    </xf>
    <xf numFmtId="0" fontId="14" fillId="0" borderId="1" xfId="2" applyFont="1" applyBorder="1" applyAlignment="1">
      <alignment vertical="center"/>
    </xf>
    <xf numFmtId="0" fontId="14" fillId="0" borderId="5" xfId="2" applyFont="1" applyBorder="1" applyAlignment="1">
      <alignment vertical="center"/>
    </xf>
    <xf numFmtId="0" fontId="14" fillId="0" borderId="6" xfId="2" applyFont="1" applyBorder="1" applyAlignment="1">
      <alignment vertical="center"/>
    </xf>
    <xf numFmtId="0" fontId="14" fillId="0" borderId="3" xfId="2" applyFont="1" applyBorder="1" applyAlignment="1">
      <alignment vertical="center"/>
    </xf>
    <xf numFmtId="164" fontId="14" fillId="0" borderId="1" xfId="2" applyNumberFormat="1" applyFont="1" applyBorder="1" applyAlignment="1">
      <alignment vertical="center"/>
    </xf>
    <xf numFmtId="164" fontId="14" fillId="5" borderId="1" xfId="2" applyNumberFormat="1" applyFont="1" applyFill="1" applyBorder="1" applyAlignment="1">
      <alignment vertical="center"/>
    </xf>
    <xf numFmtId="164" fontId="14" fillId="0" borderId="1" xfId="2" applyNumberFormat="1" applyFont="1" applyBorder="1" applyAlignment="1">
      <alignment vertical="center" wrapText="1"/>
    </xf>
    <xf numFmtId="164" fontId="14" fillId="6" borderId="1" xfId="2" applyNumberFormat="1" applyFont="1" applyFill="1" applyBorder="1" applyAlignment="1">
      <alignment vertical="center"/>
    </xf>
    <xf numFmtId="164" fontId="9" fillId="6" borderId="1" xfId="2" applyNumberFormat="1" applyFont="1" applyFill="1" applyBorder="1" applyAlignment="1">
      <alignment vertical="center" wrapText="1"/>
    </xf>
    <xf numFmtId="44" fontId="15" fillId="0" borderId="1" xfId="2" applyNumberFormat="1" applyFont="1" applyBorder="1" applyAlignment="1">
      <alignment vertical="center"/>
    </xf>
    <xf numFmtId="44" fontId="14" fillId="4" borderId="1" xfId="2" applyNumberFormat="1" applyFont="1" applyFill="1" applyBorder="1" applyAlignment="1">
      <alignment vertical="center"/>
    </xf>
    <xf numFmtId="44" fontId="14" fillId="4" borderId="4" xfId="2" applyNumberFormat="1" applyFont="1" applyFill="1" applyBorder="1" applyAlignment="1">
      <alignment vertical="center"/>
    </xf>
    <xf numFmtId="0" fontId="14" fillId="0" borderId="0" xfId="2" applyFont="1" applyAlignment="1">
      <alignment vertical="center"/>
    </xf>
    <xf numFmtId="165" fontId="14" fillId="0" borderId="0" xfId="2" applyNumberFormat="1" applyFont="1" applyAlignment="1">
      <alignment vertical="center"/>
    </xf>
    <xf numFmtId="0" fontId="6" fillId="0" borderId="1" xfId="2" applyFont="1" applyBorder="1" applyAlignment="1">
      <alignment vertical="center"/>
    </xf>
    <xf numFmtId="0" fontId="6" fillId="0" borderId="5" xfId="2" applyFont="1" applyBorder="1" applyAlignment="1">
      <alignment vertical="center"/>
    </xf>
    <xf numFmtId="0" fontId="6" fillId="0" borderId="6" xfId="2" applyFont="1" applyBorder="1" applyAlignment="1">
      <alignment vertical="center"/>
    </xf>
    <xf numFmtId="0" fontId="6" fillId="0" borderId="3" xfId="2" applyFont="1" applyBorder="1" applyAlignment="1">
      <alignment vertical="center"/>
    </xf>
    <xf numFmtId="164" fontId="6" fillId="0" borderId="1" xfId="2" quotePrefix="1" applyNumberFormat="1" applyFont="1" applyBorder="1" applyAlignment="1">
      <alignment horizontal="justify" vertical="center" wrapText="1"/>
    </xf>
    <xf numFmtId="0" fontId="16" fillId="0" borderId="1" xfId="3" applyFont="1" applyBorder="1" applyAlignment="1">
      <alignment vertical="center"/>
    </xf>
    <xf numFmtId="44" fontId="6" fillId="0" borderId="1" xfId="2" quotePrefix="1" applyNumberFormat="1" applyFont="1" applyBorder="1" applyAlignment="1">
      <alignment horizontal="justify" vertical="center" wrapText="1"/>
    </xf>
    <xf numFmtId="44" fontId="6" fillId="0" borderId="0" xfId="2" applyNumberFormat="1" applyFont="1" applyAlignment="1">
      <alignment vertical="center"/>
    </xf>
    <xf numFmtId="44" fontId="17" fillId="0" borderId="1" xfId="2" quotePrefix="1" applyNumberFormat="1" applyFont="1" applyBorder="1" applyAlignment="1">
      <alignment horizontal="justify" vertical="center" wrapText="1"/>
    </xf>
    <xf numFmtId="44" fontId="8" fillId="0" borderId="1" xfId="2" applyNumberFormat="1" applyFont="1" applyBorder="1" applyAlignment="1">
      <alignment vertical="center"/>
    </xf>
    <xf numFmtId="44" fontId="14" fillId="0" borderId="4" xfId="2" applyNumberFormat="1" applyFont="1" applyBorder="1" applyAlignment="1">
      <alignment vertical="center"/>
    </xf>
    <xf numFmtId="44" fontId="17" fillId="0" borderId="0" xfId="2" applyNumberFormat="1" applyFont="1" applyAlignment="1">
      <alignment vertical="center"/>
    </xf>
    <xf numFmtId="0" fontId="6" fillId="0" borderId="0" xfId="2" applyFont="1" applyAlignment="1">
      <alignment vertical="center"/>
    </xf>
    <xf numFmtId="44" fontId="14" fillId="7" borderId="1" xfId="2" applyNumberFormat="1" applyFont="1" applyFill="1" applyBorder="1" applyAlignment="1">
      <alignment vertical="center"/>
    </xf>
    <xf numFmtId="44" fontId="13" fillId="7" borderId="1" xfId="2" applyNumberFormat="1" applyFont="1" applyFill="1" applyBorder="1" applyAlignment="1">
      <alignment vertical="center"/>
    </xf>
    <xf numFmtId="44" fontId="18" fillId="0" borderId="1" xfId="2" applyNumberFormat="1" applyFont="1" applyBorder="1" applyAlignment="1">
      <alignment vertical="center" wrapText="1"/>
    </xf>
    <xf numFmtId="44" fontId="18" fillId="0" borderId="1" xfId="2" applyNumberFormat="1" applyFont="1" applyBorder="1" applyAlignment="1">
      <alignment horizontal="justify" vertical="center" wrapText="1"/>
    </xf>
    <xf numFmtId="165" fontId="6" fillId="0" borderId="0" xfId="2" applyNumberFormat="1" applyFont="1" applyAlignment="1">
      <alignment vertical="center"/>
    </xf>
    <xf numFmtId="164" fontId="6" fillId="0" borderId="1" xfId="2" applyNumberFormat="1" applyFont="1" applyBorder="1" applyAlignment="1">
      <alignment vertical="center"/>
    </xf>
    <xf numFmtId="164" fontId="6" fillId="0" borderId="1" xfId="2" applyNumberFormat="1" applyFont="1" applyBorder="1" applyAlignment="1">
      <alignment vertical="center" wrapText="1"/>
    </xf>
    <xf numFmtId="44" fontId="6" fillId="0" borderId="1" xfId="2" applyNumberFormat="1" applyFont="1" applyBorder="1" applyAlignment="1">
      <alignment vertical="center"/>
    </xf>
    <xf numFmtId="44" fontId="17" fillId="0" borderId="1" xfId="2" applyNumberFormat="1" applyFont="1" applyBorder="1" applyAlignment="1">
      <alignment vertical="center"/>
    </xf>
    <xf numFmtId="44" fontId="18" fillId="0" borderId="1" xfId="2" applyNumberFormat="1" applyFont="1" applyBorder="1" applyAlignment="1">
      <alignment vertical="center"/>
    </xf>
    <xf numFmtId="164" fontId="9" fillId="0" borderId="1" xfId="2" applyNumberFormat="1" applyFont="1" applyBorder="1" applyAlignment="1">
      <alignment vertical="center" wrapText="1"/>
    </xf>
    <xf numFmtId="44" fontId="5" fillId="0" borderId="0" xfId="2" applyNumberFormat="1" applyFont="1" applyAlignment="1">
      <alignment vertical="center"/>
    </xf>
    <xf numFmtId="44" fontId="6" fillId="0" borderId="1" xfId="2" quotePrefix="1" applyNumberFormat="1" applyFont="1" applyBorder="1" applyAlignment="1">
      <alignment vertical="center"/>
    </xf>
    <xf numFmtId="44" fontId="18" fillId="0" borderId="1" xfId="2" quotePrefix="1" applyNumberFormat="1" applyFont="1" applyBorder="1" applyAlignment="1">
      <alignment vertical="center"/>
    </xf>
    <xf numFmtId="44" fontId="13" fillId="0" borderId="1" xfId="2" quotePrefix="1" applyNumberFormat="1" applyFont="1" applyBorder="1" applyAlignment="1">
      <alignment vertical="center"/>
    </xf>
    <xf numFmtId="49" fontId="4" fillId="0" borderId="6" xfId="2" applyNumberFormat="1" applyFont="1" applyBorder="1" applyAlignment="1">
      <alignment vertical="center"/>
    </xf>
    <xf numFmtId="44" fontId="9" fillId="0" borderId="1" xfId="2" applyNumberFormat="1" applyFont="1" applyBorder="1" applyAlignment="1">
      <alignment vertical="center"/>
    </xf>
    <xf numFmtId="44" fontId="9" fillId="0" borderId="4" xfId="2" applyNumberFormat="1" applyFont="1" applyBorder="1" applyAlignment="1">
      <alignment vertical="center"/>
    </xf>
    <xf numFmtId="49" fontId="14" fillId="0" borderId="1" xfId="2" applyNumberFormat="1" applyFont="1" applyBorder="1" applyAlignment="1">
      <alignment vertical="center"/>
    </xf>
    <xf numFmtId="49" fontId="14" fillId="0" borderId="5" xfId="2" applyNumberFormat="1" applyFont="1" applyBorder="1" applyAlignment="1">
      <alignment vertical="center"/>
    </xf>
    <xf numFmtId="49" fontId="14" fillId="0" borderId="6" xfId="2" applyNumberFormat="1" applyFont="1" applyBorder="1" applyAlignment="1">
      <alignment vertical="center"/>
    </xf>
    <xf numFmtId="49" fontId="6" fillId="0" borderId="1" xfId="2" applyNumberFormat="1" applyFont="1" applyBorder="1" applyAlignment="1">
      <alignment vertical="center"/>
    </xf>
    <xf numFmtId="49" fontId="6" fillId="0" borderId="5" xfId="2" applyNumberFormat="1" applyFont="1" applyBorder="1" applyAlignment="1">
      <alignment vertical="center"/>
    </xf>
    <xf numFmtId="49" fontId="6" fillId="0" borderId="6" xfId="2" applyNumberFormat="1" applyFont="1" applyBorder="1" applyAlignment="1">
      <alignment vertical="center"/>
    </xf>
    <xf numFmtId="44" fontId="14" fillId="0" borderId="1" xfId="2" quotePrefix="1" applyNumberFormat="1" applyFont="1" applyBorder="1" applyAlignment="1">
      <alignment vertical="center"/>
    </xf>
    <xf numFmtId="49" fontId="9" fillId="0" borderId="6" xfId="2" applyNumberFormat="1" applyFont="1" applyBorder="1" applyAlignment="1">
      <alignment vertical="center"/>
    </xf>
    <xf numFmtId="49" fontId="4" fillId="0" borderId="3" xfId="2" applyNumberFormat="1" applyFont="1" applyBorder="1" applyAlignment="1">
      <alignment vertical="center"/>
    </xf>
    <xf numFmtId="49" fontId="14" fillId="0" borderId="3" xfId="2" applyNumberFormat="1" applyFont="1" applyBorder="1" applyAlignment="1">
      <alignment vertical="center"/>
    </xf>
    <xf numFmtId="164" fontId="6" fillId="8" borderId="1" xfId="2" applyNumberFormat="1" applyFont="1" applyFill="1" applyBorder="1" applyAlignment="1">
      <alignment vertical="center"/>
    </xf>
    <xf numFmtId="164" fontId="6" fillId="5" borderId="1" xfId="2" applyNumberFormat="1" applyFont="1" applyFill="1" applyBorder="1" applyAlignment="1">
      <alignment vertical="center"/>
    </xf>
    <xf numFmtId="164" fontId="6" fillId="8" borderId="1" xfId="2" applyNumberFormat="1" applyFont="1" applyFill="1" applyBorder="1" applyAlignment="1">
      <alignment vertical="center" wrapText="1"/>
    </xf>
    <xf numFmtId="164" fontId="6" fillId="6" borderId="1" xfId="2" applyNumberFormat="1" applyFont="1" applyFill="1" applyBorder="1" applyAlignment="1">
      <alignment vertical="center"/>
    </xf>
    <xf numFmtId="44" fontId="4" fillId="4" borderId="0" xfId="2" applyNumberFormat="1" applyFont="1" applyFill="1" applyAlignment="1">
      <alignment vertical="center"/>
    </xf>
    <xf numFmtId="164" fontId="6" fillId="9" borderId="1" xfId="2" applyNumberFormat="1" applyFont="1" applyFill="1" applyBorder="1" applyAlignment="1">
      <alignment vertical="center"/>
    </xf>
    <xf numFmtId="164" fontId="6" fillId="9" borderId="1" xfId="2" applyNumberFormat="1" applyFont="1" applyFill="1" applyBorder="1" applyAlignment="1">
      <alignment vertical="center" wrapText="1"/>
    </xf>
    <xf numFmtId="44" fontId="6" fillId="9" borderId="1" xfId="2" applyNumberFormat="1" applyFont="1" applyFill="1" applyBorder="1" applyAlignment="1">
      <alignment vertical="center"/>
    </xf>
    <xf numFmtId="44" fontId="17" fillId="9" borderId="1" xfId="2" applyNumberFormat="1" applyFont="1" applyFill="1" applyBorder="1" applyAlignment="1">
      <alignment vertical="center"/>
    </xf>
    <xf numFmtId="164" fontId="6" fillId="10" borderId="1" xfId="2" applyNumberFormat="1" applyFont="1" applyFill="1" applyBorder="1" applyAlignment="1">
      <alignment vertical="center"/>
    </xf>
    <xf numFmtId="164" fontId="6" fillId="10" borderId="1" xfId="2" applyNumberFormat="1" applyFont="1" applyFill="1" applyBorder="1" applyAlignment="1">
      <alignment vertical="center" wrapText="1"/>
    </xf>
    <xf numFmtId="44" fontId="6" fillId="10" borderId="1" xfId="2" applyNumberFormat="1" applyFont="1" applyFill="1" applyBorder="1" applyAlignment="1">
      <alignment vertical="center"/>
    </xf>
    <xf numFmtId="44" fontId="17" fillId="10" borderId="1" xfId="2" applyNumberFormat="1" applyFont="1" applyFill="1" applyBorder="1" applyAlignment="1">
      <alignment vertical="center"/>
    </xf>
    <xf numFmtId="49" fontId="4" fillId="4" borderId="6" xfId="2" applyNumberFormat="1" applyFont="1" applyFill="1" applyBorder="1" applyAlignment="1">
      <alignment vertical="center"/>
    </xf>
    <xf numFmtId="49" fontId="14" fillId="4" borderId="6" xfId="2" applyNumberFormat="1" applyFont="1" applyFill="1" applyBorder="1" applyAlignment="1">
      <alignment vertical="center"/>
    </xf>
    <xf numFmtId="49" fontId="6" fillId="0" borderId="3" xfId="2" applyNumberFormat="1" applyFont="1" applyBorder="1" applyAlignment="1">
      <alignment vertical="center"/>
    </xf>
    <xf numFmtId="49" fontId="9" fillId="4" borderId="6" xfId="2" applyNumberFormat="1" applyFont="1" applyFill="1" applyBorder="1" applyAlignment="1">
      <alignment vertical="center"/>
    </xf>
    <xf numFmtId="44" fontId="6" fillId="11" borderId="1" xfId="2" applyNumberFormat="1" applyFont="1" applyFill="1" applyBorder="1" applyAlignment="1">
      <alignment vertical="center"/>
    </xf>
    <xf numFmtId="164" fontId="6" fillId="12" borderId="1" xfId="2" applyNumberFormat="1" applyFont="1" applyFill="1" applyBorder="1" applyAlignment="1">
      <alignment vertical="center"/>
    </xf>
    <xf numFmtId="0" fontId="16" fillId="12" borderId="1" xfId="3" applyFont="1" applyFill="1" applyBorder="1" applyAlignment="1">
      <alignment vertical="center"/>
    </xf>
    <xf numFmtId="164" fontId="6" fillId="12" borderId="1" xfId="2" applyNumberFormat="1" applyFont="1" applyFill="1" applyBorder="1" applyAlignment="1">
      <alignment vertical="center" wrapText="1"/>
    </xf>
    <xf numFmtId="164" fontId="4" fillId="12" borderId="1" xfId="2" applyNumberFormat="1" applyFont="1" applyFill="1" applyBorder="1" applyAlignment="1">
      <alignment vertical="center" wrapText="1"/>
    </xf>
    <xf numFmtId="164" fontId="6" fillId="13" borderId="1" xfId="2" applyNumberFormat="1" applyFont="1" applyFill="1" applyBorder="1" applyAlignment="1">
      <alignment vertical="center"/>
    </xf>
    <xf numFmtId="0" fontId="16" fillId="13" borderId="1" xfId="3" applyFont="1" applyFill="1" applyBorder="1" applyAlignment="1">
      <alignment vertical="center"/>
    </xf>
    <xf numFmtId="164" fontId="6" fillId="13" borderId="1" xfId="2" applyNumberFormat="1" applyFont="1" applyFill="1" applyBorder="1" applyAlignment="1">
      <alignment vertical="center" wrapText="1"/>
    </xf>
    <xf numFmtId="164" fontId="4" fillId="13" borderId="1" xfId="2" applyNumberFormat="1" applyFont="1" applyFill="1" applyBorder="1" applyAlignment="1">
      <alignment vertical="center" wrapText="1"/>
    </xf>
    <xf numFmtId="0" fontId="6" fillId="14" borderId="3" xfId="2" applyFont="1" applyFill="1" applyBorder="1" applyAlignment="1">
      <alignment vertical="center"/>
    </xf>
    <xf numFmtId="44" fontId="6" fillId="6" borderId="1" xfId="2" applyNumberFormat="1" applyFont="1" applyFill="1" applyBorder="1" applyAlignment="1">
      <alignment vertical="center"/>
    </xf>
    <xf numFmtId="164" fontId="6" fillId="15" borderId="1" xfId="2" applyNumberFormat="1" applyFont="1" applyFill="1" applyBorder="1" applyAlignment="1">
      <alignment vertical="center"/>
    </xf>
    <xf numFmtId="164" fontId="6" fillId="8" borderId="1" xfId="2" quotePrefix="1" applyNumberFormat="1" applyFont="1" applyFill="1" applyBorder="1" applyAlignment="1">
      <alignment vertical="center"/>
    </xf>
    <xf numFmtId="164" fontId="6" fillId="5" borderId="1" xfId="2" quotePrefix="1" applyNumberFormat="1" applyFont="1" applyFill="1" applyBorder="1" applyAlignment="1">
      <alignment vertical="center"/>
    </xf>
    <xf numFmtId="164" fontId="6" fillId="8" borderId="1" xfId="2" quotePrefix="1" applyNumberFormat="1" applyFont="1" applyFill="1" applyBorder="1" applyAlignment="1">
      <alignment vertical="center" wrapText="1"/>
    </xf>
    <xf numFmtId="164" fontId="6" fillId="6" borderId="1" xfId="2" quotePrefix="1" applyNumberFormat="1" applyFont="1" applyFill="1" applyBorder="1" applyAlignment="1">
      <alignment vertical="center"/>
    </xf>
    <xf numFmtId="44" fontId="6" fillId="0" borderId="1" xfId="2" applyNumberFormat="1" applyFont="1" applyBorder="1" applyAlignment="1">
      <alignment horizontal="justify" vertical="center" wrapText="1"/>
    </xf>
    <xf numFmtId="164" fontId="6" fillId="8" borderId="1" xfId="2" applyNumberFormat="1" applyFont="1" applyFill="1" applyBorder="1" applyAlignment="1">
      <alignment horizontal="justify" vertical="center" wrapText="1"/>
    </xf>
    <xf numFmtId="164" fontId="6" fillId="5" borderId="1" xfId="2" applyNumberFormat="1" applyFont="1" applyFill="1" applyBorder="1" applyAlignment="1">
      <alignment horizontal="justify" vertical="center" wrapText="1"/>
    </xf>
    <xf numFmtId="164" fontId="6" fillId="6" borderId="1" xfId="2" applyNumberFormat="1" applyFont="1" applyFill="1" applyBorder="1" applyAlignment="1">
      <alignment horizontal="justify" vertical="center" wrapText="1"/>
    </xf>
    <xf numFmtId="44" fontId="19" fillId="0" borderId="1" xfId="2" applyNumberFormat="1" applyFont="1" applyBorder="1" applyAlignment="1">
      <alignment vertical="center"/>
    </xf>
    <xf numFmtId="49" fontId="4" fillId="4" borderId="5" xfId="2" applyNumberFormat="1" applyFont="1" applyFill="1" applyBorder="1" applyAlignment="1">
      <alignment vertical="center"/>
    </xf>
    <xf numFmtId="0" fontId="6" fillId="0" borderId="0" xfId="2" quotePrefix="1" applyFont="1" applyAlignment="1">
      <alignment vertical="center"/>
    </xf>
    <xf numFmtId="44" fontId="18" fillId="0" borderId="1" xfId="2" quotePrefix="1" applyNumberFormat="1" applyFont="1" applyBorder="1" applyAlignment="1">
      <alignment horizontal="justify" vertical="center" wrapText="1"/>
    </xf>
    <xf numFmtId="166" fontId="6" fillId="0" borderId="0" xfId="2" applyNumberFormat="1" applyFont="1" applyAlignment="1">
      <alignment vertical="center"/>
    </xf>
    <xf numFmtId="0" fontId="20" fillId="0" borderId="1" xfId="3" applyFont="1" applyBorder="1" applyAlignment="1">
      <alignment vertical="center"/>
    </xf>
    <xf numFmtId="44" fontId="6" fillId="8" borderId="1" xfId="2" applyNumberFormat="1" applyFont="1" applyFill="1" applyBorder="1" applyAlignment="1">
      <alignment vertical="center"/>
    </xf>
    <xf numFmtId="44" fontId="6" fillId="6" borderId="1" xfId="2" quotePrefix="1" applyNumberFormat="1" applyFont="1" applyFill="1" applyBorder="1" applyAlignment="1">
      <alignment horizontal="justify" vertical="center" wrapText="1"/>
    </xf>
    <xf numFmtId="44" fontId="18" fillId="10" borderId="1" xfId="2" applyNumberFormat="1" applyFont="1" applyFill="1" applyBorder="1" applyAlignment="1">
      <alignment vertical="center"/>
    </xf>
    <xf numFmtId="0" fontId="13" fillId="0" borderId="1" xfId="2" applyFont="1" applyBorder="1" applyAlignment="1">
      <alignment vertical="center"/>
    </xf>
    <xf numFmtId="44" fontId="18" fillId="6" borderId="1" xfId="2" quotePrefix="1" applyNumberFormat="1" applyFont="1" applyFill="1" applyBorder="1" applyAlignment="1">
      <alignment vertical="center"/>
    </xf>
    <xf numFmtId="44" fontId="17" fillId="6" borderId="1" xfId="2" applyNumberFormat="1" applyFont="1" applyFill="1" applyBorder="1" applyAlignment="1">
      <alignment vertical="center"/>
    </xf>
    <xf numFmtId="44" fontId="2" fillId="0" borderId="0" xfId="2" applyNumberFormat="1" applyFont="1"/>
    <xf numFmtId="44" fontId="21" fillId="0" borderId="1" xfId="2" applyNumberFormat="1" applyFont="1" applyBorder="1" applyAlignment="1">
      <alignment vertical="center"/>
    </xf>
    <xf numFmtId="44" fontId="22" fillId="0" borderId="0" xfId="2" applyNumberFormat="1" applyFont="1" applyAlignment="1">
      <alignment vertical="center"/>
    </xf>
    <xf numFmtId="164" fontId="6" fillId="16" borderId="1" xfId="2" applyNumberFormat="1" applyFont="1" applyFill="1" applyBorder="1" applyAlignment="1">
      <alignment vertical="center"/>
    </xf>
    <xf numFmtId="164" fontId="6" fillId="16" borderId="1" xfId="2" applyNumberFormat="1" applyFont="1" applyFill="1" applyBorder="1" applyAlignment="1">
      <alignment vertical="center" wrapText="1"/>
    </xf>
    <xf numFmtId="44" fontId="6" fillId="16" borderId="1" xfId="2" applyNumberFormat="1" applyFont="1" applyFill="1" applyBorder="1" applyAlignment="1">
      <alignment vertical="center"/>
    </xf>
    <xf numFmtId="44" fontId="17" fillId="16" borderId="1" xfId="2" applyNumberFormat="1" applyFont="1" applyFill="1" applyBorder="1" applyAlignment="1">
      <alignment vertical="center"/>
    </xf>
    <xf numFmtId="44" fontId="14" fillId="10" borderId="1" xfId="2" applyNumberFormat="1" applyFont="1" applyFill="1" applyBorder="1" applyAlignment="1">
      <alignment vertical="center"/>
    </xf>
    <xf numFmtId="4" fontId="6" fillId="0" borderId="0" xfId="2" applyNumberFormat="1" applyFont="1" applyAlignment="1">
      <alignment vertical="center"/>
    </xf>
    <xf numFmtId="49" fontId="6" fillId="0" borderId="7" xfId="2" applyNumberFormat="1" applyFont="1" applyBorder="1" applyAlignment="1">
      <alignment vertical="center"/>
    </xf>
    <xf numFmtId="49" fontId="4" fillId="0" borderId="7" xfId="2" applyNumberFormat="1" applyFont="1" applyBorder="1" applyAlignment="1">
      <alignment vertical="center"/>
    </xf>
    <xf numFmtId="49" fontId="14" fillId="0" borderId="7" xfId="2" applyNumberFormat="1" applyFont="1" applyBorder="1" applyAlignment="1">
      <alignment vertical="center"/>
    </xf>
    <xf numFmtId="49" fontId="6" fillId="0" borderId="8" xfId="2" applyNumberFormat="1" applyFont="1" applyBorder="1" applyAlignment="1">
      <alignment vertical="center"/>
    </xf>
    <xf numFmtId="164" fontId="6" fillId="0" borderId="2" xfId="2" applyNumberFormat="1" applyFont="1" applyBorder="1" applyAlignment="1">
      <alignment vertical="center"/>
    </xf>
    <xf numFmtId="164" fontId="6" fillId="0" borderId="2" xfId="2" applyNumberFormat="1" applyFont="1" applyBorder="1" applyAlignment="1">
      <alignment vertical="center" wrapText="1"/>
    </xf>
    <xf numFmtId="164" fontId="4" fillId="0" borderId="2" xfId="2" applyNumberFormat="1" applyFont="1" applyBorder="1" applyAlignment="1">
      <alignment vertical="center" wrapText="1"/>
    </xf>
    <xf numFmtId="44" fontId="6" fillId="0" borderId="2" xfId="2" applyNumberFormat="1" applyFont="1" applyBorder="1" applyAlignment="1">
      <alignment vertical="center"/>
    </xf>
    <xf numFmtId="44" fontId="17" fillId="0" borderId="2" xfId="2" applyNumberFormat="1" applyFont="1" applyBorder="1" applyAlignment="1">
      <alignment vertical="center"/>
    </xf>
    <xf numFmtId="44" fontId="8" fillId="0" borderId="2" xfId="2" applyNumberFormat="1" applyFont="1" applyBorder="1" applyAlignment="1">
      <alignment vertical="center"/>
    </xf>
    <xf numFmtId="44" fontId="14" fillId="0" borderId="2" xfId="2" applyNumberFormat="1" applyFont="1" applyBorder="1" applyAlignment="1">
      <alignment vertical="center"/>
    </xf>
    <xf numFmtId="44" fontId="14" fillId="0" borderId="9" xfId="2" applyNumberFormat="1" applyFont="1" applyBorder="1" applyAlignment="1">
      <alignment vertical="center"/>
    </xf>
    <xf numFmtId="44" fontId="14" fillId="7" borderId="2" xfId="2" applyNumberFormat="1" applyFont="1" applyFill="1" applyBorder="1" applyAlignment="1">
      <alignment vertical="center"/>
    </xf>
    <xf numFmtId="44" fontId="13" fillId="0" borderId="2" xfId="2" applyNumberFormat="1" applyFont="1" applyBorder="1" applyAlignment="1">
      <alignment vertical="center"/>
    </xf>
    <xf numFmtId="44" fontId="4" fillId="0" borderId="6" xfId="2" applyNumberFormat="1" applyFont="1" applyBorder="1" applyAlignment="1">
      <alignment vertical="center"/>
    </xf>
    <xf numFmtId="44" fontId="6" fillId="0" borderId="6" xfId="2" applyNumberFormat="1" applyFont="1" applyBorder="1" applyAlignment="1">
      <alignment vertical="center"/>
    </xf>
    <xf numFmtId="44" fontId="17" fillId="0" borderId="6" xfId="2" applyNumberFormat="1" applyFont="1" applyBorder="1" applyAlignment="1">
      <alignment vertical="center"/>
    </xf>
    <xf numFmtId="49" fontId="6" fillId="0" borderId="10" xfId="2" applyNumberFormat="1" applyFont="1" applyBorder="1" applyAlignment="1">
      <alignment vertical="center"/>
    </xf>
    <xf numFmtId="49" fontId="14" fillId="0" borderId="11" xfId="2" applyNumberFormat="1" applyFont="1" applyBorder="1" applyAlignment="1">
      <alignment vertical="center"/>
    </xf>
    <xf numFmtId="49" fontId="9" fillId="0" borderId="11" xfId="2" applyNumberFormat="1" applyFont="1" applyBorder="1" applyAlignment="1">
      <alignment vertical="center"/>
    </xf>
    <xf numFmtId="49" fontId="14" fillId="0" borderId="12" xfId="2" applyNumberFormat="1" applyFont="1" applyBorder="1" applyAlignment="1">
      <alignment vertical="center"/>
    </xf>
    <xf numFmtId="164" fontId="14" fillId="0" borderId="4" xfId="2" applyNumberFormat="1" applyFont="1" applyBorder="1" applyAlignment="1">
      <alignment vertical="center"/>
    </xf>
    <xf numFmtId="164" fontId="14" fillId="0" borderId="4" xfId="2" applyNumberFormat="1" applyFont="1" applyBorder="1" applyAlignment="1">
      <alignment vertical="center" wrapText="1"/>
    </xf>
    <xf numFmtId="164" fontId="9" fillId="0" borderId="4" xfId="2" applyNumberFormat="1" applyFont="1" applyBorder="1" applyAlignment="1">
      <alignment vertical="center" wrapText="1"/>
    </xf>
    <xf numFmtId="44" fontId="15" fillId="0" borderId="4" xfId="2" applyNumberFormat="1" applyFont="1" applyBorder="1" applyAlignment="1">
      <alignment vertical="center"/>
    </xf>
    <xf numFmtId="44" fontId="8" fillId="0" borderId="4" xfId="2" applyNumberFormat="1" applyFont="1" applyBorder="1" applyAlignment="1">
      <alignment vertical="center"/>
    </xf>
    <xf numFmtId="44" fontId="13" fillId="0" borderId="4" xfId="2" applyNumberFormat="1" applyFont="1" applyBorder="1" applyAlignment="1">
      <alignment vertical="center"/>
    </xf>
    <xf numFmtId="44" fontId="6" fillId="0" borderId="0" xfId="2" applyNumberFormat="1" applyFont="1" applyAlignment="1">
      <alignment vertical="center" wrapText="1"/>
    </xf>
    <xf numFmtId="164" fontId="6" fillId="17" borderId="1" xfId="2" applyNumberFormat="1" applyFont="1" applyFill="1" applyBorder="1" applyAlignment="1">
      <alignment vertical="center"/>
    </xf>
    <xf numFmtId="0" fontId="16" fillId="17" borderId="1" xfId="3" applyFont="1" applyFill="1" applyBorder="1" applyAlignment="1">
      <alignment vertical="center"/>
    </xf>
    <xf numFmtId="164" fontId="6" fillId="17" borderId="1" xfId="2" applyNumberFormat="1" applyFont="1" applyFill="1" applyBorder="1" applyAlignment="1">
      <alignment vertical="center" wrapText="1"/>
    </xf>
    <xf numFmtId="164" fontId="4" fillId="17" borderId="1" xfId="2" applyNumberFormat="1" applyFont="1" applyFill="1" applyBorder="1" applyAlignment="1">
      <alignment vertical="center" wrapText="1"/>
    </xf>
    <xf numFmtId="44" fontId="6" fillId="18" borderId="1" xfId="2" quotePrefix="1" applyNumberFormat="1" applyFont="1" applyFill="1" applyBorder="1" applyAlignment="1">
      <alignment horizontal="justify" vertical="center" wrapText="1"/>
    </xf>
    <xf numFmtId="49" fontId="9" fillId="0" borderId="3" xfId="2" applyNumberFormat="1" applyFont="1" applyBorder="1" applyAlignment="1">
      <alignment vertical="center"/>
    </xf>
    <xf numFmtId="164" fontId="9" fillId="0" borderId="1" xfId="2" applyNumberFormat="1" applyFont="1" applyBorder="1" applyAlignment="1">
      <alignment vertical="center"/>
    </xf>
    <xf numFmtId="164" fontId="9" fillId="5" borderId="1" xfId="2" applyNumberFormat="1" applyFont="1" applyFill="1" applyBorder="1" applyAlignment="1">
      <alignment vertical="center"/>
    </xf>
    <xf numFmtId="164" fontId="9" fillId="6" borderId="1" xfId="2" applyNumberFormat="1" applyFont="1" applyFill="1" applyBorder="1" applyAlignment="1">
      <alignment vertical="center"/>
    </xf>
    <xf numFmtId="164" fontId="4" fillId="10" borderId="1" xfId="2" applyNumberFormat="1" applyFont="1" applyFill="1" applyBorder="1" applyAlignment="1">
      <alignment vertical="center"/>
    </xf>
    <xf numFmtId="164" fontId="4" fillId="10" borderId="1" xfId="2" applyNumberFormat="1" applyFont="1" applyFill="1" applyBorder="1" applyAlignment="1">
      <alignment vertical="center" wrapText="1"/>
    </xf>
    <xf numFmtId="164" fontId="6" fillId="6" borderId="1" xfId="2" applyNumberFormat="1" applyFont="1" applyFill="1" applyBorder="1" applyAlignment="1">
      <alignment vertical="center" wrapText="1"/>
    </xf>
    <xf numFmtId="44" fontId="18" fillId="4" borderId="1" xfId="2" applyNumberFormat="1" applyFont="1" applyFill="1" applyBorder="1" applyAlignment="1">
      <alignment vertical="center"/>
    </xf>
    <xf numFmtId="44" fontId="6" fillId="4" borderId="1" xfId="2" applyNumberFormat="1" applyFont="1" applyFill="1" applyBorder="1" applyAlignment="1">
      <alignment vertical="center"/>
    </xf>
    <xf numFmtId="44" fontId="6" fillId="4" borderId="4" xfId="2" applyNumberFormat="1" applyFont="1" applyFill="1" applyBorder="1" applyAlignment="1">
      <alignment vertical="center"/>
    </xf>
    <xf numFmtId="44" fontId="6" fillId="7" borderId="1" xfId="2" applyNumberFormat="1" applyFont="1" applyFill="1" applyBorder="1" applyAlignment="1">
      <alignment vertical="center"/>
    </xf>
    <xf numFmtId="164" fontId="6" fillId="19" borderId="1" xfId="2" applyNumberFormat="1" applyFont="1" applyFill="1" applyBorder="1" applyAlignment="1">
      <alignment vertical="center"/>
    </xf>
    <xf numFmtId="0" fontId="23" fillId="0" borderId="1" xfId="3" applyFont="1" applyBorder="1" applyAlignment="1">
      <alignment vertical="center"/>
    </xf>
    <xf numFmtId="49" fontId="4" fillId="20" borderId="5" xfId="2" applyNumberFormat="1" applyFont="1" applyFill="1" applyBorder="1" applyAlignment="1">
      <alignment vertical="center"/>
    </xf>
    <xf numFmtId="49" fontId="4" fillId="20" borderId="6" xfId="2" applyNumberFormat="1" applyFont="1" applyFill="1" applyBorder="1" applyAlignment="1">
      <alignment vertical="center"/>
    </xf>
    <xf numFmtId="49" fontId="9" fillId="20" borderId="6" xfId="2" applyNumberFormat="1" applyFont="1" applyFill="1" applyBorder="1" applyAlignment="1">
      <alignment vertical="center"/>
    </xf>
    <xf numFmtId="49" fontId="4" fillId="20" borderId="3" xfId="2" applyNumberFormat="1" applyFont="1" applyFill="1" applyBorder="1" applyAlignment="1">
      <alignment vertical="center"/>
    </xf>
    <xf numFmtId="164" fontId="4" fillId="20" borderId="1" xfId="2" applyNumberFormat="1" applyFont="1" applyFill="1" applyBorder="1" applyAlignment="1">
      <alignment vertical="center"/>
    </xf>
    <xf numFmtId="164" fontId="4" fillId="20" borderId="1" xfId="2" applyNumberFormat="1" applyFont="1" applyFill="1" applyBorder="1" applyAlignment="1">
      <alignment vertical="center" wrapText="1"/>
    </xf>
    <xf numFmtId="44" fontId="4" fillId="20" borderId="1" xfId="2" applyNumberFormat="1" applyFont="1" applyFill="1" applyBorder="1" applyAlignment="1">
      <alignment vertical="center"/>
    </xf>
    <xf numFmtId="44" fontId="7" fillId="20" borderId="1" xfId="2" applyNumberFormat="1" applyFont="1" applyFill="1" applyBorder="1" applyAlignment="1">
      <alignment vertical="center"/>
    </xf>
    <xf numFmtId="164" fontId="4" fillId="21" borderId="1" xfId="2" applyNumberFormat="1" applyFont="1" applyFill="1" applyBorder="1" applyAlignment="1">
      <alignment vertical="center"/>
    </xf>
    <xf numFmtId="164" fontId="4" fillId="21" borderId="1" xfId="2" applyNumberFormat="1" applyFont="1" applyFill="1" applyBorder="1" applyAlignment="1">
      <alignment vertical="center" wrapText="1"/>
    </xf>
    <xf numFmtId="44" fontId="4" fillId="21" borderId="1" xfId="2" applyNumberFormat="1" applyFont="1" applyFill="1" applyBorder="1" applyAlignment="1">
      <alignment vertical="center"/>
    </xf>
    <xf numFmtId="44" fontId="7" fillId="21" borderId="1" xfId="2" applyNumberFormat="1" applyFont="1" applyFill="1" applyBorder="1" applyAlignment="1">
      <alignment vertical="center"/>
    </xf>
    <xf numFmtId="164" fontId="6" fillId="19" borderId="1" xfId="2" applyNumberFormat="1" applyFont="1" applyFill="1" applyBorder="1" applyAlignment="1">
      <alignment vertical="center" wrapText="1"/>
    </xf>
    <xf numFmtId="44" fontId="6" fillId="19" borderId="1" xfId="2" applyNumberFormat="1" applyFont="1" applyFill="1" applyBorder="1" applyAlignment="1">
      <alignment vertical="center"/>
    </xf>
    <xf numFmtId="44" fontId="17" fillId="19" borderId="1" xfId="2" applyNumberFormat="1" applyFont="1" applyFill="1" applyBorder="1" applyAlignment="1">
      <alignment vertical="center"/>
    </xf>
    <xf numFmtId="44" fontId="17" fillId="8" borderId="1" xfId="2" applyNumberFormat="1" applyFont="1" applyFill="1" applyBorder="1" applyAlignment="1">
      <alignment vertical="center"/>
    </xf>
    <xf numFmtId="49" fontId="4" fillId="0" borderId="11" xfId="2" applyNumberFormat="1" applyFont="1" applyBorder="1" applyAlignment="1">
      <alignment vertical="center"/>
    </xf>
    <xf numFmtId="164" fontId="4" fillId="0" borderId="11" xfId="2" applyNumberFormat="1" applyFont="1" applyBorder="1" applyAlignment="1">
      <alignment vertical="center"/>
    </xf>
    <xf numFmtId="164" fontId="14" fillId="0" borderId="11" xfId="2" applyNumberFormat="1" applyFont="1" applyBorder="1" applyAlignment="1">
      <alignment vertical="center"/>
    </xf>
    <xf numFmtId="164" fontId="4" fillId="0" borderId="13" xfId="2" applyNumberFormat="1" applyFont="1" applyBorder="1" applyAlignment="1">
      <alignment vertical="center"/>
    </xf>
    <xf numFmtId="164" fontId="4" fillId="5" borderId="11" xfId="2" applyNumberFormat="1" applyFont="1" applyFill="1" applyBorder="1" applyAlignment="1">
      <alignment vertical="center"/>
    </xf>
    <xf numFmtId="164" fontId="4" fillId="0" borderId="11" xfId="2" applyNumberFormat="1" applyFont="1" applyBorder="1" applyAlignment="1">
      <alignment vertical="center" wrapText="1"/>
    </xf>
    <xf numFmtId="44" fontId="4" fillId="0" borderId="11" xfId="2" applyNumberFormat="1" applyFont="1" applyBorder="1" applyAlignment="1">
      <alignment vertical="center"/>
    </xf>
    <xf numFmtId="44" fontId="7" fillId="0" borderId="11" xfId="2" applyNumberFormat="1" applyFont="1" applyBorder="1" applyAlignment="1">
      <alignment vertical="center"/>
    </xf>
    <xf numFmtId="44" fontId="8" fillId="0" borderId="11" xfId="2" applyNumberFormat="1" applyFont="1" applyBorder="1" applyAlignment="1">
      <alignment vertical="center"/>
    </xf>
    <xf numFmtId="44" fontId="14" fillId="0" borderId="11" xfId="2" applyNumberFormat="1" applyFont="1" applyBorder="1" applyAlignment="1">
      <alignment vertical="center"/>
    </xf>
    <xf numFmtId="0" fontId="17" fillId="0" borderId="0" xfId="2" applyFont="1" applyAlignment="1">
      <alignment vertical="center"/>
    </xf>
    <xf numFmtId="44" fontId="24" fillId="7" borderId="1" xfId="2" applyNumberFormat="1" applyFont="1" applyFill="1" applyBorder="1" applyAlignment="1">
      <alignment vertical="center"/>
    </xf>
    <xf numFmtId="164" fontId="14" fillId="0" borderId="6" xfId="2" applyNumberFormat="1" applyFont="1" applyBorder="1" applyAlignment="1">
      <alignment vertical="center"/>
    </xf>
    <xf numFmtId="164" fontId="6" fillId="16" borderId="6" xfId="2" applyNumberFormat="1" applyFont="1" applyFill="1" applyBorder="1" applyAlignment="1">
      <alignment vertical="center"/>
    </xf>
    <xf numFmtId="164" fontId="14" fillId="0" borderId="14" xfId="2" applyNumberFormat="1" applyFont="1" applyBorder="1" applyAlignment="1">
      <alignment vertical="center"/>
    </xf>
    <xf numFmtId="164" fontId="14" fillId="5" borderId="6" xfId="2" applyNumberFormat="1" applyFont="1" applyFill="1" applyBorder="1" applyAlignment="1">
      <alignment vertical="center"/>
    </xf>
    <xf numFmtId="164" fontId="14" fillId="0" borderId="6" xfId="2" applyNumberFormat="1" applyFont="1" applyBorder="1" applyAlignment="1">
      <alignment vertical="center" wrapText="1"/>
    </xf>
    <xf numFmtId="44" fontId="14" fillId="0" borderId="6" xfId="2" applyNumberFormat="1" applyFont="1" applyBorder="1" applyAlignment="1">
      <alignment vertical="center"/>
    </xf>
    <xf numFmtId="44" fontId="15" fillId="0" borderId="6" xfId="2" applyNumberFormat="1" applyFont="1" applyBorder="1" applyAlignment="1">
      <alignment vertical="center"/>
    </xf>
    <xf numFmtId="44" fontId="13" fillId="0" borderId="6" xfId="2" applyNumberFormat="1" applyFont="1" applyBorder="1" applyAlignment="1">
      <alignment vertical="center"/>
    </xf>
    <xf numFmtId="164" fontId="6" fillId="8" borderId="6" xfId="2" applyNumberFormat="1" applyFont="1" applyFill="1" applyBorder="1" applyAlignment="1">
      <alignment vertical="center"/>
    </xf>
    <xf numFmtId="164" fontId="4" fillId="4" borderId="6" xfId="2" applyNumberFormat="1" applyFont="1" applyFill="1" applyBorder="1" applyAlignment="1">
      <alignment vertical="center"/>
    </xf>
    <xf numFmtId="164" fontId="6" fillId="8" borderId="14" xfId="2" applyNumberFormat="1" applyFont="1" applyFill="1" applyBorder="1" applyAlignment="1">
      <alignment vertical="center"/>
    </xf>
    <xf numFmtId="164" fontId="6" fillId="5" borderId="6" xfId="2" applyNumberFormat="1" applyFont="1" applyFill="1" applyBorder="1" applyAlignment="1">
      <alignment vertical="center"/>
    </xf>
    <xf numFmtId="164" fontId="6" fillId="8" borderId="6" xfId="2" applyNumberFormat="1" applyFont="1" applyFill="1" applyBorder="1" applyAlignment="1">
      <alignment vertical="center" wrapText="1"/>
    </xf>
    <xf numFmtId="44" fontId="6" fillId="8" borderId="6" xfId="2" applyNumberFormat="1" applyFont="1" applyFill="1" applyBorder="1" applyAlignment="1">
      <alignment vertical="center"/>
    </xf>
    <xf numFmtId="44" fontId="6" fillId="8" borderId="0" xfId="2" applyNumberFormat="1" applyFont="1" applyFill="1" applyAlignment="1">
      <alignment vertical="center"/>
    </xf>
    <xf numFmtId="44" fontId="17" fillId="8" borderId="6" xfId="2" applyNumberFormat="1" applyFont="1" applyFill="1" applyBorder="1" applyAlignment="1">
      <alignment vertical="center"/>
    </xf>
    <xf numFmtId="44" fontId="13" fillId="8" borderId="6" xfId="2" applyNumberFormat="1" applyFont="1" applyFill="1" applyBorder="1" applyAlignment="1">
      <alignment vertical="center"/>
    </xf>
    <xf numFmtId="44" fontId="14" fillId="8" borderId="6" xfId="2" applyNumberFormat="1" applyFont="1" applyFill="1" applyBorder="1" applyAlignment="1">
      <alignment vertical="center"/>
    </xf>
    <xf numFmtId="164" fontId="4" fillId="0" borderId="6" xfId="2" applyNumberFormat="1" applyFont="1" applyBorder="1" applyAlignment="1">
      <alignment vertical="center"/>
    </xf>
    <xf numFmtId="164" fontId="6" fillId="8" borderId="15" xfId="2" applyNumberFormat="1" applyFont="1" applyFill="1" applyBorder="1" applyAlignment="1">
      <alignment vertical="center"/>
    </xf>
    <xf numFmtId="44" fontId="6" fillId="0" borderId="0" xfId="2" applyNumberFormat="1" applyFont="1"/>
    <xf numFmtId="0" fontId="6" fillId="0" borderId="0" xfId="2" applyFont="1"/>
    <xf numFmtId="0" fontId="17" fillId="0" borderId="0" xfId="2" applyFont="1"/>
    <xf numFmtId="165" fontId="6" fillId="0" borderId="0" xfId="2" applyNumberFormat="1" applyFont="1"/>
    <xf numFmtId="49" fontId="6" fillId="0" borderId="0" xfId="2" applyNumberFormat="1" applyFont="1"/>
    <xf numFmtId="49" fontId="4" fillId="0" borderId="0" xfId="2" applyNumberFormat="1" applyFont="1"/>
    <xf numFmtId="49" fontId="14" fillId="0" borderId="0" xfId="2" applyNumberFormat="1" applyFont="1"/>
    <xf numFmtId="164" fontId="6" fillId="0" borderId="0" xfId="2" applyNumberFormat="1" applyFont="1"/>
    <xf numFmtId="164" fontId="6" fillId="19" borderId="6" xfId="2" applyNumberFormat="1" applyFont="1" applyFill="1" applyBorder="1" applyAlignment="1">
      <alignment vertical="center"/>
    </xf>
    <xf numFmtId="164" fontId="6" fillId="5" borderId="0" xfId="2" applyNumberFormat="1" applyFont="1" applyFill="1"/>
    <xf numFmtId="164" fontId="6" fillId="0" borderId="0" xfId="2" applyNumberFormat="1" applyFont="1" applyAlignment="1">
      <alignment wrapText="1"/>
    </xf>
    <xf numFmtId="44" fontId="17" fillId="0" borderId="0" xfId="2" applyNumberFormat="1" applyFont="1"/>
    <xf numFmtId="44" fontId="13" fillId="0" borderId="0" xfId="2" applyNumberFormat="1" applyFont="1"/>
    <xf numFmtId="44" fontId="14" fillId="0" borderId="0" xfId="2" applyNumberFormat="1" applyFont="1"/>
    <xf numFmtId="44" fontId="25" fillId="0" borderId="0" xfId="2" applyNumberFormat="1" applyFont="1"/>
    <xf numFmtId="44" fontId="18" fillId="0" borderId="0" xfId="2" applyNumberFormat="1" applyFont="1"/>
    <xf numFmtId="0" fontId="4" fillId="0" borderId="0" xfId="2" applyFont="1"/>
    <xf numFmtId="0" fontId="14" fillId="0" borderId="0" xfId="2" applyFont="1"/>
    <xf numFmtId="164" fontId="6" fillId="19" borderId="6" xfId="2" applyNumberFormat="1" applyFont="1" applyFill="1" applyBorder="1" applyAlignment="1">
      <alignment vertical="center" wrapText="1"/>
    </xf>
    <xf numFmtId="164" fontId="6" fillId="10" borderId="6" xfId="2" applyNumberFormat="1" applyFont="1" applyFill="1" applyBorder="1" applyAlignment="1">
      <alignment vertical="center"/>
    </xf>
    <xf numFmtId="164" fontId="6" fillId="0" borderId="6" xfId="2" applyNumberFormat="1" applyFont="1" applyBorder="1" applyAlignment="1">
      <alignment vertical="center"/>
    </xf>
    <xf numFmtId="164" fontId="4" fillId="21" borderId="6" xfId="2" applyNumberFormat="1" applyFont="1" applyFill="1" applyBorder="1" applyAlignment="1">
      <alignment vertical="center"/>
    </xf>
    <xf numFmtId="43" fontId="6" fillId="0" borderId="0" xfId="1" applyFont="1"/>
  </cellXfs>
  <cellStyles count="4">
    <cellStyle name="Migliaia" xfId="1" builtinId="3"/>
    <cellStyle name="Normale" xfId="0" builtinId="0"/>
    <cellStyle name="Normale 2 3 2" xfId="3" xr:uid="{FDFB7C29-7745-4D00-86FB-8E12423C171A}"/>
    <cellStyle name="Normale 3" xfId="2" xr:uid="{947E8E0E-1715-47A6-96D5-209C66F79B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BILANCIO%202023\Verifiche%20periodiche\1%20trimestre%202023.xlsx" TargetMode="External"/><Relationship Id="rId1" Type="http://schemas.openxmlformats.org/officeDocument/2006/relationships/externalLinkPath" Target="/BILANCIO%202023/Verifiche%20periodiche/1%20trimestre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rradic\RAGIONERIA\BUDGET%20E%20TARIFFE\Budget%20e%20tariffe%202024\Calcolo%20tariffa%20e%20retta%202025-2026.xlsx" TargetMode="External"/><Relationship Id="rId1" Type="http://schemas.openxmlformats.org/officeDocument/2006/relationships/externalLinkPath" Target="/corradic/RAGIONERIA/BUDGET%20E%20TARIFFE/Budget%20e%20tariffe%202024/Calcolo%20tariffa%20e%20retta%202025-2026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BILANCIO%202023\Proiezione%202023.xlsx" TargetMode="External"/><Relationship Id="rId1" Type="http://schemas.openxmlformats.org/officeDocument/2006/relationships/externalLinkPath" Target="/BILANCIO%202023/Proiezione%20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ertoldig\Desktop\BILANCIO%202022\VERIFICA%2030.09.22%20PERGINE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BUDGET%202024\Personale%202024.xlsx" TargetMode="External"/><Relationship Id="rId1" Type="http://schemas.openxmlformats.org/officeDocument/2006/relationships/externalLinkPath" Target="/BUDGET%202024/Personale%202024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BILANCIO%202023\TFR.xlsx" TargetMode="External"/><Relationship Id="rId1" Type="http://schemas.openxmlformats.org/officeDocument/2006/relationships/externalLinkPath" Target="/BILANCIO%202023/TFR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rradic\RAGIONERIA\Verifica%20di%20cassa\Anno%202024\Chiusura%20presunta\Allegato%201%20e%202_tabella_4%20trimestre%202024.xlsx" TargetMode="External"/><Relationship Id="rId1" Type="http://schemas.openxmlformats.org/officeDocument/2006/relationships/externalLinkPath" Target="/corradic/RAGIONERIA/Verifica%20di%20cassa/Anno%202024/Chiusura%20presunta/Allegato%201%20e%202_tabella_4%20trimestre%20202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IPAB/Casa%20Soggiorno%20Rovereto/budget2007_divalerio/budget2007_divalerio_modifiche%20del%2021_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POTESI BUDGET 2023"/>
      <sheetName val="budget 2023"/>
      <sheetName val="PLURIENNALE"/>
      <sheetName val="Pareggio Budget 2023"/>
      <sheetName val="COSTO PERSONALE"/>
      <sheetName val="CONTRIBUTO RINNOVO CCPL"/>
      <sheetName val="rettifiche di bilancio 2022"/>
      <sheetName val="PRINCIPALI SCOSTAMENTI"/>
      <sheetName val="grafici"/>
      <sheetName val="rette"/>
      <sheetName val="rette proiezione 219"/>
      <sheetName val="rette proiezione 2022"/>
      <sheetName val="Retta RSA "/>
      <sheetName val="Esportazione da CBA"/>
      <sheetName val="UTENZE 21-22"/>
      <sheetName val="ACQUA"/>
      <sheetName val="Teleraffrescamento"/>
      <sheetName val="MANUT IMPIANTI"/>
      <sheetName val="Teleriscaldamento"/>
      <sheetName val="consulenze igiene e sicurezza"/>
      <sheetName val="software"/>
    </sheetNames>
    <sheetDataSet>
      <sheetData sheetId="0"/>
      <sheetData sheetId="1"/>
      <sheetData sheetId="2"/>
      <sheetData sheetId="3"/>
      <sheetData sheetId="4">
        <row r="20">
          <cell r="B20">
            <v>215459.04</v>
          </cell>
        </row>
      </sheetData>
      <sheetData sheetId="5">
        <row r="12">
          <cell r="C12">
            <v>941583.03004974534</v>
          </cell>
        </row>
      </sheetData>
      <sheetData sheetId="6"/>
      <sheetData sheetId="7"/>
      <sheetData sheetId="8"/>
      <sheetData sheetId="9">
        <row r="7">
          <cell r="G7">
            <v>3983926.9799999995</v>
          </cell>
        </row>
        <row r="9">
          <cell r="G9">
            <v>42771.979999999996</v>
          </cell>
        </row>
        <row r="11">
          <cell r="G11">
            <v>71367.75</v>
          </cell>
        </row>
        <row r="42">
          <cell r="L42">
            <v>5867299.4399999995</v>
          </cell>
        </row>
        <row r="51">
          <cell r="L51">
            <v>88822.75</v>
          </cell>
        </row>
      </sheetData>
      <sheetData sheetId="10"/>
      <sheetData sheetId="11"/>
      <sheetData sheetId="12"/>
      <sheetData sheetId="13"/>
      <sheetData sheetId="14"/>
      <sheetData sheetId="15"/>
      <sheetData sheetId="16">
        <row r="18">
          <cell r="J18">
            <v>18995.747847424656</v>
          </cell>
        </row>
      </sheetData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spiti"/>
      <sheetName val="Tariffa sanitaria PAT"/>
      <sheetName val="Tariffa sanitaria fuori PAT"/>
      <sheetName val="Retta alberghiera 2024"/>
      <sheetName val="Riepilogo generale"/>
    </sheetNames>
    <sheetDataSet>
      <sheetData sheetId="0"/>
      <sheetData sheetId="1">
        <row r="17">
          <cell r="E17">
            <v>6101500</v>
          </cell>
        </row>
      </sheetData>
      <sheetData sheetId="2">
        <row r="15">
          <cell r="C15">
            <v>47800</v>
          </cell>
        </row>
      </sheetData>
      <sheetData sheetId="3">
        <row r="9">
          <cell r="D9">
            <v>3653650</v>
          </cell>
        </row>
        <row r="11">
          <cell r="D11">
            <v>18268.25</v>
          </cell>
        </row>
        <row r="13">
          <cell r="D13">
            <v>717936.75000000012</v>
          </cell>
        </row>
        <row r="15">
          <cell r="D15">
            <v>128662.5</v>
          </cell>
        </row>
        <row r="18">
          <cell r="D18">
            <v>73073</v>
          </cell>
        </row>
      </sheetData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FR"/>
      <sheetName val="Generi alimentari"/>
      <sheetName val="Retta sanitaria PAT"/>
      <sheetName val="Retta sanitaria fuori PAT"/>
      <sheetName val="Retta alberghiera UVM"/>
      <sheetName val="Retta alberghiera paganti"/>
      <sheetName val="Retta alberghiera fuori PAT"/>
      <sheetName val="Retta alberghiera CS"/>
      <sheetName val="Totale Rette"/>
      <sheetName val="Tariffa CD pagamento"/>
      <sheetName val="Tariffa pasti Comunità"/>
      <sheetName val="Tariffa pasti CS4"/>
      <sheetName val="Tariffa fisio esterni"/>
      <sheetName val="Stipendi"/>
      <sheetName val="Oneri"/>
      <sheetName val="Servizio medico"/>
      <sheetName val="Servizio infermieristico"/>
    </sheetNames>
    <sheetDataSet>
      <sheetData sheetId="0"/>
      <sheetData sheetId="1">
        <row r="14">
          <cell r="C14">
            <v>544180.63098802394</v>
          </cell>
        </row>
      </sheetData>
      <sheetData sheetId="2"/>
      <sheetData sheetId="3">
        <row r="14">
          <cell r="C14">
            <v>43706.127245508978</v>
          </cell>
        </row>
      </sheetData>
      <sheetData sheetId="4">
        <row r="14">
          <cell r="C14">
            <v>3709276.7103293412</v>
          </cell>
        </row>
      </sheetData>
      <sheetData sheetId="5">
        <row r="14">
          <cell r="C14">
            <v>730911.99730538926</v>
          </cell>
        </row>
      </sheetData>
      <sheetData sheetId="6">
        <row r="14">
          <cell r="C14">
            <v>27107.402544910183</v>
          </cell>
        </row>
      </sheetData>
      <sheetData sheetId="7">
        <row r="14">
          <cell r="C14">
            <v>71570.161676646705</v>
          </cell>
        </row>
      </sheetData>
      <sheetData sheetId="8"/>
      <sheetData sheetId="9">
        <row r="14">
          <cell r="C14">
            <v>26924.651197604791</v>
          </cell>
        </row>
      </sheetData>
      <sheetData sheetId="10">
        <row r="14">
          <cell r="C14">
            <v>8917.3652694610773</v>
          </cell>
        </row>
      </sheetData>
      <sheetData sheetId="11">
        <row r="14">
          <cell r="C14">
            <v>16590.266317365269</v>
          </cell>
        </row>
      </sheetData>
      <sheetData sheetId="12"/>
      <sheetData sheetId="13">
        <row r="15">
          <cell r="B15">
            <v>6559213.7000914812</v>
          </cell>
        </row>
      </sheetData>
      <sheetData sheetId="14">
        <row r="17">
          <cell r="B17">
            <v>1795816.0858958317</v>
          </cell>
        </row>
      </sheetData>
      <sheetData sheetId="15">
        <row r="9">
          <cell r="C9"/>
        </row>
      </sheetData>
      <sheetData sheetId="16">
        <row r="14">
          <cell r="C14">
            <v>53609.411019736835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0,9 PROIEZIONE 31_12_2022"/>
      <sheetName val="STAMPA"/>
      <sheetName val="MAGGIORI SCOSTAMENTI"/>
      <sheetName val="ANALISI SCOSTAMENTI"/>
      <sheetName val="manut impianti "/>
      <sheetName val="SCOSTAMENTO BUDGET 2022"/>
      <sheetName val="RETTA ALBERGHIERA"/>
      <sheetName val="PROIEZIONE 31_12_2022 RIDOTTO"/>
      <sheetName val="PROIEZIONE 31_12_2022 per delib"/>
      <sheetName val="rettifiche di bilancio 2022"/>
      <sheetName val="PRINCIPALI SCOSTAMENTI"/>
      <sheetName val="grafici"/>
      <sheetName val="rette"/>
      <sheetName val="rette proiezione 219"/>
      <sheetName val="rette proiezione 2022"/>
      <sheetName val="Retta RSA "/>
      <sheetName val="Esportazione da CBA"/>
      <sheetName val="UTENZE 21-22"/>
      <sheetName val="ACQUA"/>
      <sheetName val="Teleraffrescamento"/>
      <sheetName val="MANUT IMPIANTI"/>
      <sheetName val="Teleriscaldamento"/>
    </sheetNames>
    <sheetDataSet>
      <sheetData sheetId="0">
        <row r="10">
          <cell r="S10">
            <v>80104.799999999988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udget 2024"/>
      <sheetName val="Foglio4"/>
    </sheetNames>
    <sheetDataSet>
      <sheetData sheetId="0">
        <row r="41">
          <cell r="Q41">
            <v>211.52</v>
          </cell>
          <cell r="AC41">
            <v>222.57999999999998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FR 2023"/>
      <sheetName val="TFR 2022"/>
      <sheetName val="TFR 2021"/>
    </sheetNames>
    <sheetDataSet>
      <sheetData sheetId="0">
        <row r="13">
          <cell r="B13">
            <v>285940.68078598403</v>
          </cell>
        </row>
      </sheetData>
      <sheetData sheetId="1">
        <row r="24">
          <cell r="B24">
            <v>519929.51</v>
          </cell>
        </row>
      </sheetData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erifica 4 trimestre 2024"/>
      <sheetName val="Allegato 2_preconsuntivo"/>
      <sheetName val="SCOSTAMENI"/>
      <sheetName val="FIANZIAMENTO PAT"/>
      <sheetName val="VECCHIOFINANZIAMENTO PAT"/>
      <sheetName val="ospiti al 30.11.2024"/>
      <sheetName val="CU_RiepilogoPresenzeClassifica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etro 2007_15.12.06"/>
      <sheetName val="BILANCIO 2007 45,00€URO"/>
      <sheetName val="VOCI"/>
      <sheetName val="Budget"/>
    </sheetNames>
    <sheetDataSet>
      <sheetData sheetId="0"/>
      <sheetData sheetId="1"/>
      <sheetData sheetId="2">
        <row r="2">
          <cell r="A2" t="str">
            <v>A1</v>
          </cell>
        </row>
        <row r="3">
          <cell r="A3" t="str">
            <v>A2</v>
          </cell>
        </row>
        <row r="4">
          <cell r="A4" t="str">
            <v>A3</v>
          </cell>
        </row>
        <row r="5">
          <cell r="A5" t="str">
            <v>A4</v>
          </cell>
        </row>
        <row r="6">
          <cell r="A6" t="str">
            <v>A5</v>
          </cell>
        </row>
        <row r="7">
          <cell r="A7" t="str">
            <v>B1</v>
          </cell>
        </row>
        <row r="8">
          <cell r="A8" t="str">
            <v>B2</v>
          </cell>
        </row>
        <row r="9">
          <cell r="A9" t="str">
            <v>B3</v>
          </cell>
        </row>
        <row r="10">
          <cell r="A10" t="str">
            <v>B4</v>
          </cell>
        </row>
        <row r="11">
          <cell r="A11" t="str">
            <v>B5</v>
          </cell>
        </row>
        <row r="12">
          <cell r="A12" t="str">
            <v>B6</v>
          </cell>
        </row>
        <row r="13">
          <cell r="A13" t="str">
            <v>B7</v>
          </cell>
        </row>
        <row r="14">
          <cell r="A14" t="str">
            <v>B8</v>
          </cell>
        </row>
        <row r="15">
          <cell r="A15" t="str">
            <v>B9</v>
          </cell>
        </row>
        <row r="16">
          <cell r="A16" t="str">
            <v>B10</v>
          </cell>
        </row>
        <row r="17">
          <cell r="A17" t="str">
            <v>B11</v>
          </cell>
        </row>
        <row r="18">
          <cell r="A18" t="str">
            <v>B12</v>
          </cell>
        </row>
        <row r="19">
          <cell r="A19" t="str">
            <v>B13</v>
          </cell>
        </row>
        <row r="20">
          <cell r="A20" t="str">
            <v>B14</v>
          </cell>
        </row>
        <row r="21">
          <cell r="A21" t="str">
            <v>B15</v>
          </cell>
        </row>
        <row r="22">
          <cell r="A22" t="str">
            <v>B16</v>
          </cell>
        </row>
        <row r="23">
          <cell r="A23" t="str">
            <v>B17</v>
          </cell>
        </row>
        <row r="24">
          <cell r="A24" t="str">
            <v>B18</v>
          </cell>
        </row>
        <row r="25">
          <cell r="A25" t="str">
            <v>B19</v>
          </cell>
        </row>
        <row r="26">
          <cell r="A26" t="str">
            <v>B20</v>
          </cell>
        </row>
        <row r="27">
          <cell r="A27" t="str">
            <v>B21</v>
          </cell>
        </row>
        <row r="28">
          <cell r="A28" t="str">
            <v>B22</v>
          </cell>
        </row>
        <row r="29">
          <cell r="A29" t="str">
            <v>B23</v>
          </cell>
        </row>
        <row r="30">
          <cell r="A30" t="str">
            <v>B24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558F6-1FC9-46D0-91F6-340C144BD065}">
  <sheetPr>
    <pageSetUpPr fitToPage="1"/>
  </sheetPr>
  <dimension ref="A1:CE485"/>
  <sheetViews>
    <sheetView tabSelected="1" topLeftCell="B317" zoomScaleNormal="100" workbookViewId="0">
      <selection activeCell="F26" sqref="F26"/>
    </sheetView>
  </sheetViews>
  <sheetFormatPr defaultColWidth="9.140625" defaultRowHeight="17.25" x14ac:dyDescent="0.3"/>
  <cols>
    <col min="1" max="1" width="19.140625" style="262" hidden="1" customWidth="1"/>
    <col min="2" max="2" width="3" style="262" customWidth="1"/>
    <col min="3" max="3" width="2.85546875" style="262" customWidth="1"/>
    <col min="4" max="4" width="3.28515625" style="263" customWidth="1"/>
    <col min="5" max="5" width="2.7109375" style="264" customWidth="1"/>
    <col min="6" max="6" width="62.85546875" style="262" bestFit="1" customWidth="1"/>
    <col min="7" max="7" width="21.85546875" style="265" hidden="1" customWidth="1"/>
    <col min="8" max="8" width="26.42578125" style="265" hidden="1" customWidth="1"/>
    <col min="9" max="9" width="38.28515625" style="265" hidden="1" customWidth="1"/>
    <col min="10" max="10" width="16.7109375" style="265" hidden="1" customWidth="1"/>
    <col min="11" max="12" width="21.85546875" style="265" hidden="1" customWidth="1"/>
    <col min="13" max="13" width="25.28515625" style="265" hidden="1" customWidth="1"/>
    <col min="14" max="14" width="21.28515625" style="265" hidden="1" customWidth="1"/>
    <col min="15" max="20" width="21.85546875" style="265" hidden="1" customWidth="1"/>
    <col min="21" max="21" width="21.85546875" style="267" hidden="1" customWidth="1"/>
    <col min="22" max="22" width="21.85546875" style="265" hidden="1" customWidth="1"/>
    <col min="23" max="23" width="21.85546875" style="268" hidden="1" customWidth="1"/>
    <col min="24" max="24" width="21.85546875" style="265" hidden="1" customWidth="1"/>
    <col min="25" max="25" width="21.85546875" style="268" hidden="1" customWidth="1"/>
    <col min="26" max="26" width="19.7109375" style="258" hidden="1" customWidth="1"/>
    <col min="27" max="28" width="21.85546875" style="258" hidden="1" customWidth="1"/>
    <col min="29" max="29" width="34.85546875" style="258" hidden="1" customWidth="1"/>
    <col min="30" max="30" width="18.140625" style="258" hidden="1" customWidth="1"/>
    <col min="31" max="31" width="22.7109375" style="258" hidden="1" customWidth="1"/>
    <col min="32" max="32" width="16.7109375" style="258" hidden="1" customWidth="1"/>
    <col min="33" max="33" width="20.28515625" style="258" hidden="1" customWidth="1"/>
    <col min="34" max="34" width="21.85546875" style="258" hidden="1" customWidth="1"/>
    <col min="35" max="35" width="26.7109375" style="258" hidden="1" customWidth="1"/>
    <col min="36" max="36" width="21.85546875" style="258" hidden="1" customWidth="1"/>
    <col min="37" max="37" width="15" style="269" hidden="1" customWidth="1"/>
    <col min="38" max="38" width="24.85546875" style="258" hidden="1" customWidth="1"/>
    <col min="39" max="39" width="15.7109375" style="270" hidden="1" customWidth="1"/>
    <col min="40" max="40" width="18.5703125" style="271" hidden="1" customWidth="1"/>
    <col min="41" max="41" width="26.7109375" style="258" hidden="1" customWidth="1"/>
    <col min="42" max="42" width="16.28515625" style="259" hidden="1" customWidth="1"/>
    <col min="43" max="43" width="126.85546875" style="258" hidden="1" customWidth="1"/>
    <col min="44" max="44" width="132.28515625" style="258" hidden="1" customWidth="1"/>
    <col min="45" max="45" width="6.85546875" style="258" hidden="1" customWidth="1"/>
    <col min="46" max="46" width="15" style="269" hidden="1" customWidth="1"/>
    <col min="47" max="47" width="19.7109375" style="258" hidden="1" customWidth="1"/>
    <col min="48" max="48" width="20.7109375" style="258" hidden="1" customWidth="1"/>
    <col min="49" max="49" width="19.7109375" style="258" hidden="1" customWidth="1"/>
    <col min="50" max="50" width="18.28515625" style="260" hidden="1" customWidth="1"/>
    <col min="51" max="51" width="14" style="260" hidden="1" customWidth="1"/>
    <col min="52" max="52" width="81.42578125" style="259" hidden="1" customWidth="1"/>
    <col min="53" max="53" width="18.42578125" style="259" hidden="1" customWidth="1"/>
    <col min="54" max="54" width="0" style="259" hidden="1" customWidth="1"/>
    <col min="55" max="55" width="16.140625" style="259" hidden="1" customWidth="1"/>
    <col min="56" max="56" width="18.140625" style="259" hidden="1" customWidth="1"/>
    <col min="57" max="62" width="19.7109375" style="258" hidden="1" customWidth="1"/>
    <col min="63" max="63" width="20.7109375" style="258" hidden="1" customWidth="1"/>
    <col min="64" max="65" width="17.85546875" style="272" hidden="1" customWidth="1"/>
    <col min="66" max="66" width="102.85546875" style="273" hidden="1" customWidth="1"/>
    <col min="67" max="67" width="63.140625" style="270" hidden="1" customWidth="1"/>
    <col min="68" max="68" width="20.7109375" style="270" customWidth="1"/>
    <col min="69" max="70" width="18.7109375" style="270" hidden="1" customWidth="1"/>
    <col min="71" max="71" width="89.42578125" style="270" hidden="1" customWidth="1"/>
    <col min="72" max="72" width="87.5703125" style="273" hidden="1" customWidth="1"/>
    <col min="73" max="73" width="84.85546875" style="258" hidden="1" customWidth="1"/>
    <col min="74" max="74" width="13" style="269" hidden="1" customWidth="1"/>
    <col min="75" max="75" width="19.5703125" style="259" hidden="1" customWidth="1"/>
    <col min="76" max="76" width="14.85546875" style="259" hidden="1" customWidth="1"/>
    <col min="77" max="78" width="18.7109375" style="261" hidden="1" customWidth="1"/>
    <col min="79" max="79" width="15.42578125" style="259" hidden="1" customWidth="1"/>
    <col min="80" max="80" width="9.140625" style="259" hidden="1" customWidth="1"/>
    <col min="81" max="81" width="3.28515625" style="259" hidden="1" customWidth="1"/>
    <col min="82" max="82" width="20.7109375" style="270" customWidth="1"/>
    <col min="83" max="83" width="16.28515625" style="259" bestFit="1" customWidth="1"/>
    <col min="84" max="285" width="9.140625" style="259"/>
    <col min="286" max="286" width="0" style="259" hidden="1" customWidth="1"/>
    <col min="287" max="287" width="3" style="259" customWidth="1"/>
    <col min="288" max="288" width="2.85546875" style="259" customWidth="1"/>
    <col min="289" max="289" width="3.28515625" style="259" customWidth="1"/>
    <col min="290" max="290" width="2.7109375" style="259" customWidth="1"/>
    <col min="291" max="291" width="54" style="259" customWidth="1"/>
    <col min="292" max="293" width="15.7109375" style="259" customWidth="1"/>
    <col min="294" max="294" width="16.7109375" style="259" customWidth="1"/>
    <col min="295" max="296" width="17.5703125" style="259" customWidth="1"/>
    <col min="297" max="297" width="12.140625" style="259" bestFit="1" customWidth="1"/>
    <col min="298" max="298" width="9.28515625" style="259" bestFit="1" customWidth="1"/>
    <col min="299" max="299" width="12.140625" style="259" bestFit="1" customWidth="1"/>
    <col min="300" max="300" width="13.140625" style="259" bestFit="1" customWidth="1"/>
    <col min="301" max="541" width="9.140625" style="259"/>
    <col min="542" max="542" width="0" style="259" hidden="1" customWidth="1"/>
    <col min="543" max="543" width="3" style="259" customWidth="1"/>
    <col min="544" max="544" width="2.85546875" style="259" customWidth="1"/>
    <col min="545" max="545" width="3.28515625" style="259" customWidth="1"/>
    <col min="546" max="546" width="2.7109375" style="259" customWidth="1"/>
    <col min="547" max="547" width="54" style="259" customWidth="1"/>
    <col min="548" max="549" width="15.7109375" style="259" customWidth="1"/>
    <col min="550" max="550" width="16.7109375" style="259" customWidth="1"/>
    <col min="551" max="552" width="17.5703125" style="259" customWidth="1"/>
    <col min="553" max="553" width="12.140625" style="259" bestFit="1" customWidth="1"/>
    <col min="554" max="554" width="9.28515625" style="259" bestFit="1" customWidth="1"/>
    <col min="555" max="555" width="12.140625" style="259" bestFit="1" customWidth="1"/>
    <col min="556" max="556" width="13.140625" style="259" bestFit="1" customWidth="1"/>
    <col min="557" max="797" width="9.140625" style="259"/>
    <col min="798" max="798" width="0" style="259" hidden="1" customWidth="1"/>
    <col min="799" max="799" width="3" style="259" customWidth="1"/>
    <col min="800" max="800" width="2.85546875" style="259" customWidth="1"/>
    <col min="801" max="801" width="3.28515625" style="259" customWidth="1"/>
    <col min="802" max="802" width="2.7109375" style="259" customWidth="1"/>
    <col min="803" max="803" width="54" style="259" customWidth="1"/>
    <col min="804" max="805" width="15.7109375" style="259" customWidth="1"/>
    <col min="806" max="806" width="16.7109375" style="259" customWidth="1"/>
    <col min="807" max="808" width="17.5703125" style="259" customWidth="1"/>
    <col min="809" max="809" width="12.140625" style="259" bestFit="1" customWidth="1"/>
    <col min="810" max="810" width="9.28515625" style="259" bestFit="1" customWidth="1"/>
    <col min="811" max="811" width="12.140625" style="259" bestFit="1" customWidth="1"/>
    <col min="812" max="812" width="13.140625" style="259" bestFit="1" customWidth="1"/>
    <col min="813" max="1053" width="9.140625" style="259"/>
    <col min="1054" max="1054" width="0" style="259" hidden="1" customWidth="1"/>
    <col min="1055" max="1055" width="3" style="259" customWidth="1"/>
    <col min="1056" max="1056" width="2.85546875" style="259" customWidth="1"/>
    <col min="1057" max="1057" width="3.28515625" style="259" customWidth="1"/>
    <col min="1058" max="1058" width="2.7109375" style="259" customWidth="1"/>
    <col min="1059" max="1059" width="54" style="259" customWidth="1"/>
    <col min="1060" max="1061" width="15.7109375" style="259" customWidth="1"/>
    <col min="1062" max="1062" width="16.7109375" style="259" customWidth="1"/>
    <col min="1063" max="1064" width="17.5703125" style="259" customWidth="1"/>
    <col min="1065" max="1065" width="12.140625" style="259" bestFit="1" customWidth="1"/>
    <col min="1066" max="1066" width="9.28515625" style="259" bestFit="1" customWidth="1"/>
    <col min="1067" max="1067" width="12.140625" style="259" bestFit="1" customWidth="1"/>
    <col min="1068" max="1068" width="13.140625" style="259" bestFit="1" customWidth="1"/>
    <col min="1069" max="1309" width="9.140625" style="259"/>
    <col min="1310" max="1310" width="0" style="259" hidden="1" customWidth="1"/>
    <col min="1311" max="1311" width="3" style="259" customWidth="1"/>
    <col min="1312" max="1312" width="2.85546875" style="259" customWidth="1"/>
    <col min="1313" max="1313" width="3.28515625" style="259" customWidth="1"/>
    <col min="1314" max="1314" width="2.7109375" style="259" customWidth="1"/>
    <col min="1315" max="1315" width="54" style="259" customWidth="1"/>
    <col min="1316" max="1317" width="15.7109375" style="259" customWidth="1"/>
    <col min="1318" max="1318" width="16.7109375" style="259" customWidth="1"/>
    <col min="1319" max="1320" width="17.5703125" style="259" customWidth="1"/>
    <col min="1321" max="1321" width="12.140625" style="259" bestFit="1" customWidth="1"/>
    <col min="1322" max="1322" width="9.28515625" style="259" bestFit="1" customWidth="1"/>
    <col min="1323" max="1323" width="12.140625" style="259" bestFit="1" customWidth="1"/>
    <col min="1324" max="1324" width="13.140625" style="259" bestFit="1" customWidth="1"/>
    <col min="1325" max="1565" width="9.140625" style="259"/>
    <col min="1566" max="1566" width="0" style="259" hidden="1" customWidth="1"/>
    <col min="1567" max="1567" width="3" style="259" customWidth="1"/>
    <col min="1568" max="1568" width="2.85546875" style="259" customWidth="1"/>
    <col min="1569" max="1569" width="3.28515625" style="259" customWidth="1"/>
    <col min="1570" max="1570" width="2.7109375" style="259" customWidth="1"/>
    <col min="1571" max="1571" width="54" style="259" customWidth="1"/>
    <col min="1572" max="1573" width="15.7109375" style="259" customWidth="1"/>
    <col min="1574" max="1574" width="16.7109375" style="259" customWidth="1"/>
    <col min="1575" max="1576" width="17.5703125" style="259" customWidth="1"/>
    <col min="1577" max="1577" width="12.140625" style="259" bestFit="1" customWidth="1"/>
    <col min="1578" max="1578" width="9.28515625" style="259" bestFit="1" customWidth="1"/>
    <col min="1579" max="1579" width="12.140625" style="259" bestFit="1" customWidth="1"/>
    <col min="1580" max="1580" width="13.140625" style="259" bestFit="1" customWidth="1"/>
    <col min="1581" max="1821" width="9.140625" style="259"/>
    <col min="1822" max="1822" width="0" style="259" hidden="1" customWidth="1"/>
    <col min="1823" max="1823" width="3" style="259" customWidth="1"/>
    <col min="1824" max="1824" width="2.85546875" style="259" customWidth="1"/>
    <col min="1825" max="1825" width="3.28515625" style="259" customWidth="1"/>
    <col min="1826" max="1826" width="2.7109375" style="259" customWidth="1"/>
    <col min="1827" max="1827" width="54" style="259" customWidth="1"/>
    <col min="1828" max="1829" width="15.7109375" style="259" customWidth="1"/>
    <col min="1830" max="1830" width="16.7109375" style="259" customWidth="1"/>
    <col min="1831" max="1832" width="17.5703125" style="259" customWidth="1"/>
    <col min="1833" max="1833" width="12.140625" style="259" bestFit="1" customWidth="1"/>
    <col min="1834" max="1834" width="9.28515625" style="259" bestFit="1" customWidth="1"/>
    <col min="1835" max="1835" width="12.140625" style="259" bestFit="1" customWidth="1"/>
    <col min="1836" max="1836" width="13.140625" style="259" bestFit="1" customWidth="1"/>
    <col min="1837" max="2077" width="9.140625" style="259"/>
    <col min="2078" max="2078" width="0" style="259" hidden="1" customWidth="1"/>
    <col min="2079" max="2079" width="3" style="259" customWidth="1"/>
    <col min="2080" max="2080" width="2.85546875" style="259" customWidth="1"/>
    <col min="2081" max="2081" width="3.28515625" style="259" customWidth="1"/>
    <col min="2082" max="2082" width="2.7109375" style="259" customWidth="1"/>
    <col min="2083" max="2083" width="54" style="259" customWidth="1"/>
    <col min="2084" max="2085" width="15.7109375" style="259" customWidth="1"/>
    <col min="2086" max="2086" width="16.7109375" style="259" customWidth="1"/>
    <col min="2087" max="2088" width="17.5703125" style="259" customWidth="1"/>
    <col min="2089" max="2089" width="12.140625" style="259" bestFit="1" customWidth="1"/>
    <col min="2090" max="2090" width="9.28515625" style="259" bestFit="1" customWidth="1"/>
    <col min="2091" max="2091" width="12.140625" style="259" bestFit="1" customWidth="1"/>
    <col min="2092" max="2092" width="13.140625" style="259" bestFit="1" customWidth="1"/>
    <col min="2093" max="2333" width="9.140625" style="259"/>
    <col min="2334" max="2334" width="0" style="259" hidden="1" customWidth="1"/>
    <col min="2335" max="2335" width="3" style="259" customWidth="1"/>
    <col min="2336" max="2336" width="2.85546875" style="259" customWidth="1"/>
    <col min="2337" max="2337" width="3.28515625" style="259" customWidth="1"/>
    <col min="2338" max="2338" width="2.7109375" style="259" customWidth="1"/>
    <col min="2339" max="2339" width="54" style="259" customWidth="1"/>
    <col min="2340" max="2341" width="15.7109375" style="259" customWidth="1"/>
    <col min="2342" max="2342" width="16.7109375" style="259" customWidth="1"/>
    <col min="2343" max="2344" width="17.5703125" style="259" customWidth="1"/>
    <col min="2345" max="2345" width="12.140625" style="259" bestFit="1" customWidth="1"/>
    <col min="2346" max="2346" width="9.28515625" style="259" bestFit="1" customWidth="1"/>
    <col min="2347" max="2347" width="12.140625" style="259" bestFit="1" customWidth="1"/>
    <col min="2348" max="2348" width="13.140625" style="259" bestFit="1" customWidth="1"/>
    <col min="2349" max="2589" width="9.140625" style="259"/>
    <col min="2590" max="2590" width="0" style="259" hidden="1" customWidth="1"/>
    <col min="2591" max="2591" width="3" style="259" customWidth="1"/>
    <col min="2592" max="2592" width="2.85546875" style="259" customWidth="1"/>
    <col min="2593" max="2593" width="3.28515625" style="259" customWidth="1"/>
    <col min="2594" max="2594" width="2.7109375" style="259" customWidth="1"/>
    <col min="2595" max="2595" width="54" style="259" customWidth="1"/>
    <col min="2596" max="2597" width="15.7109375" style="259" customWidth="1"/>
    <col min="2598" max="2598" width="16.7109375" style="259" customWidth="1"/>
    <col min="2599" max="2600" width="17.5703125" style="259" customWidth="1"/>
    <col min="2601" max="2601" width="12.140625" style="259" bestFit="1" customWidth="1"/>
    <col min="2602" max="2602" width="9.28515625" style="259" bestFit="1" customWidth="1"/>
    <col min="2603" max="2603" width="12.140625" style="259" bestFit="1" customWidth="1"/>
    <col min="2604" max="2604" width="13.140625" style="259" bestFit="1" customWidth="1"/>
    <col min="2605" max="2845" width="9.140625" style="259"/>
    <col min="2846" max="2846" width="0" style="259" hidden="1" customWidth="1"/>
    <col min="2847" max="2847" width="3" style="259" customWidth="1"/>
    <col min="2848" max="2848" width="2.85546875" style="259" customWidth="1"/>
    <col min="2849" max="2849" width="3.28515625" style="259" customWidth="1"/>
    <col min="2850" max="2850" width="2.7109375" style="259" customWidth="1"/>
    <col min="2851" max="2851" width="54" style="259" customWidth="1"/>
    <col min="2852" max="2853" width="15.7109375" style="259" customWidth="1"/>
    <col min="2854" max="2854" width="16.7109375" style="259" customWidth="1"/>
    <col min="2855" max="2856" width="17.5703125" style="259" customWidth="1"/>
    <col min="2857" max="2857" width="12.140625" style="259" bestFit="1" customWidth="1"/>
    <col min="2858" max="2858" width="9.28515625" style="259" bestFit="1" customWidth="1"/>
    <col min="2859" max="2859" width="12.140625" style="259" bestFit="1" customWidth="1"/>
    <col min="2860" max="2860" width="13.140625" style="259" bestFit="1" customWidth="1"/>
    <col min="2861" max="3101" width="9.140625" style="259"/>
    <col min="3102" max="3102" width="0" style="259" hidden="1" customWidth="1"/>
    <col min="3103" max="3103" width="3" style="259" customWidth="1"/>
    <col min="3104" max="3104" width="2.85546875" style="259" customWidth="1"/>
    <col min="3105" max="3105" width="3.28515625" style="259" customWidth="1"/>
    <col min="3106" max="3106" width="2.7109375" style="259" customWidth="1"/>
    <col min="3107" max="3107" width="54" style="259" customWidth="1"/>
    <col min="3108" max="3109" width="15.7109375" style="259" customWidth="1"/>
    <col min="3110" max="3110" width="16.7109375" style="259" customWidth="1"/>
    <col min="3111" max="3112" width="17.5703125" style="259" customWidth="1"/>
    <col min="3113" max="3113" width="12.140625" style="259" bestFit="1" customWidth="1"/>
    <col min="3114" max="3114" width="9.28515625" style="259" bestFit="1" customWidth="1"/>
    <col min="3115" max="3115" width="12.140625" style="259" bestFit="1" customWidth="1"/>
    <col min="3116" max="3116" width="13.140625" style="259" bestFit="1" customWidth="1"/>
    <col min="3117" max="3357" width="9.140625" style="259"/>
    <col min="3358" max="3358" width="0" style="259" hidden="1" customWidth="1"/>
    <col min="3359" max="3359" width="3" style="259" customWidth="1"/>
    <col min="3360" max="3360" width="2.85546875" style="259" customWidth="1"/>
    <col min="3361" max="3361" width="3.28515625" style="259" customWidth="1"/>
    <col min="3362" max="3362" width="2.7109375" style="259" customWidth="1"/>
    <col min="3363" max="3363" width="54" style="259" customWidth="1"/>
    <col min="3364" max="3365" width="15.7109375" style="259" customWidth="1"/>
    <col min="3366" max="3366" width="16.7109375" style="259" customWidth="1"/>
    <col min="3367" max="3368" width="17.5703125" style="259" customWidth="1"/>
    <col min="3369" max="3369" width="12.140625" style="259" bestFit="1" customWidth="1"/>
    <col min="3370" max="3370" width="9.28515625" style="259" bestFit="1" customWidth="1"/>
    <col min="3371" max="3371" width="12.140625" style="259" bestFit="1" customWidth="1"/>
    <col min="3372" max="3372" width="13.140625" style="259" bestFit="1" customWidth="1"/>
    <col min="3373" max="3613" width="9.140625" style="259"/>
    <col min="3614" max="3614" width="0" style="259" hidden="1" customWidth="1"/>
    <col min="3615" max="3615" width="3" style="259" customWidth="1"/>
    <col min="3616" max="3616" width="2.85546875" style="259" customWidth="1"/>
    <col min="3617" max="3617" width="3.28515625" style="259" customWidth="1"/>
    <col min="3618" max="3618" width="2.7109375" style="259" customWidth="1"/>
    <col min="3619" max="3619" width="54" style="259" customWidth="1"/>
    <col min="3620" max="3621" width="15.7109375" style="259" customWidth="1"/>
    <col min="3622" max="3622" width="16.7109375" style="259" customWidth="1"/>
    <col min="3623" max="3624" width="17.5703125" style="259" customWidth="1"/>
    <col min="3625" max="3625" width="12.140625" style="259" bestFit="1" customWidth="1"/>
    <col min="3626" max="3626" width="9.28515625" style="259" bestFit="1" customWidth="1"/>
    <col min="3627" max="3627" width="12.140625" style="259" bestFit="1" customWidth="1"/>
    <col min="3628" max="3628" width="13.140625" style="259" bestFit="1" customWidth="1"/>
    <col min="3629" max="3869" width="9.140625" style="259"/>
    <col min="3870" max="3870" width="0" style="259" hidden="1" customWidth="1"/>
    <col min="3871" max="3871" width="3" style="259" customWidth="1"/>
    <col min="3872" max="3872" width="2.85546875" style="259" customWidth="1"/>
    <col min="3873" max="3873" width="3.28515625" style="259" customWidth="1"/>
    <col min="3874" max="3874" width="2.7109375" style="259" customWidth="1"/>
    <col min="3875" max="3875" width="54" style="259" customWidth="1"/>
    <col min="3876" max="3877" width="15.7109375" style="259" customWidth="1"/>
    <col min="3878" max="3878" width="16.7109375" style="259" customWidth="1"/>
    <col min="3879" max="3880" width="17.5703125" style="259" customWidth="1"/>
    <col min="3881" max="3881" width="12.140625" style="259" bestFit="1" customWidth="1"/>
    <col min="3882" max="3882" width="9.28515625" style="259" bestFit="1" customWidth="1"/>
    <col min="3883" max="3883" width="12.140625" style="259" bestFit="1" customWidth="1"/>
    <col min="3884" max="3884" width="13.140625" style="259" bestFit="1" customWidth="1"/>
    <col min="3885" max="4125" width="9.140625" style="259"/>
    <col min="4126" max="4126" width="0" style="259" hidden="1" customWidth="1"/>
    <col min="4127" max="4127" width="3" style="259" customWidth="1"/>
    <col min="4128" max="4128" width="2.85546875" style="259" customWidth="1"/>
    <col min="4129" max="4129" width="3.28515625" style="259" customWidth="1"/>
    <col min="4130" max="4130" width="2.7109375" style="259" customWidth="1"/>
    <col min="4131" max="4131" width="54" style="259" customWidth="1"/>
    <col min="4132" max="4133" width="15.7109375" style="259" customWidth="1"/>
    <col min="4134" max="4134" width="16.7109375" style="259" customWidth="1"/>
    <col min="4135" max="4136" width="17.5703125" style="259" customWidth="1"/>
    <col min="4137" max="4137" width="12.140625" style="259" bestFit="1" customWidth="1"/>
    <col min="4138" max="4138" width="9.28515625" style="259" bestFit="1" customWidth="1"/>
    <col min="4139" max="4139" width="12.140625" style="259" bestFit="1" customWidth="1"/>
    <col min="4140" max="4140" width="13.140625" style="259" bestFit="1" customWidth="1"/>
    <col min="4141" max="4381" width="9.140625" style="259"/>
    <col min="4382" max="4382" width="0" style="259" hidden="1" customWidth="1"/>
    <col min="4383" max="4383" width="3" style="259" customWidth="1"/>
    <col min="4384" max="4384" width="2.85546875" style="259" customWidth="1"/>
    <col min="4385" max="4385" width="3.28515625" style="259" customWidth="1"/>
    <col min="4386" max="4386" width="2.7109375" style="259" customWidth="1"/>
    <col min="4387" max="4387" width="54" style="259" customWidth="1"/>
    <col min="4388" max="4389" width="15.7109375" style="259" customWidth="1"/>
    <col min="4390" max="4390" width="16.7109375" style="259" customWidth="1"/>
    <col min="4391" max="4392" width="17.5703125" style="259" customWidth="1"/>
    <col min="4393" max="4393" width="12.140625" style="259" bestFit="1" customWidth="1"/>
    <col min="4394" max="4394" width="9.28515625" style="259" bestFit="1" customWidth="1"/>
    <col min="4395" max="4395" width="12.140625" style="259" bestFit="1" customWidth="1"/>
    <col min="4396" max="4396" width="13.140625" style="259" bestFit="1" customWidth="1"/>
    <col min="4397" max="4637" width="9.140625" style="259"/>
    <col min="4638" max="4638" width="0" style="259" hidden="1" customWidth="1"/>
    <col min="4639" max="4639" width="3" style="259" customWidth="1"/>
    <col min="4640" max="4640" width="2.85546875" style="259" customWidth="1"/>
    <col min="4641" max="4641" width="3.28515625" style="259" customWidth="1"/>
    <col min="4642" max="4642" width="2.7109375" style="259" customWidth="1"/>
    <col min="4643" max="4643" width="54" style="259" customWidth="1"/>
    <col min="4644" max="4645" width="15.7109375" style="259" customWidth="1"/>
    <col min="4646" max="4646" width="16.7109375" style="259" customWidth="1"/>
    <col min="4647" max="4648" width="17.5703125" style="259" customWidth="1"/>
    <col min="4649" max="4649" width="12.140625" style="259" bestFit="1" customWidth="1"/>
    <col min="4650" max="4650" width="9.28515625" style="259" bestFit="1" customWidth="1"/>
    <col min="4651" max="4651" width="12.140625" style="259" bestFit="1" customWidth="1"/>
    <col min="4652" max="4652" width="13.140625" style="259" bestFit="1" customWidth="1"/>
    <col min="4653" max="4893" width="9.140625" style="259"/>
    <col min="4894" max="4894" width="0" style="259" hidden="1" customWidth="1"/>
    <col min="4895" max="4895" width="3" style="259" customWidth="1"/>
    <col min="4896" max="4896" width="2.85546875" style="259" customWidth="1"/>
    <col min="4897" max="4897" width="3.28515625" style="259" customWidth="1"/>
    <col min="4898" max="4898" width="2.7109375" style="259" customWidth="1"/>
    <col min="4899" max="4899" width="54" style="259" customWidth="1"/>
    <col min="4900" max="4901" width="15.7109375" style="259" customWidth="1"/>
    <col min="4902" max="4902" width="16.7109375" style="259" customWidth="1"/>
    <col min="4903" max="4904" width="17.5703125" style="259" customWidth="1"/>
    <col min="4905" max="4905" width="12.140625" style="259" bestFit="1" customWidth="1"/>
    <col min="4906" max="4906" width="9.28515625" style="259" bestFit="1" customWidth="1"/>
    <col min="4907" max="4907" width="12.140625" style="259" bestFit="1" customWidth="1"/>
    <col min="4908" max="4908" width="13.140625" style="259" bestFit="1" customWidth="1"/>
    <col min="4909" max="5149" width="9.140625" style="259"/>
    <col min="5150" max="5150" width="0" style="259" hidden="1" customWidth="1"/>
    <col min="5151" max="5151" width="3" style="259" customWidth="1"/>
    <col min="5152" max="5152" width="2.85546875" style="259" customWidth="1"/>
    <col min="5153" max="5153" width="3.28515625" style="259" customWidth="1"/>
    <col min="5154" max="5154" width="2.7109375" style="259" customWidth="1"/>
    <col min="5155" max="5155" width="54" style="259" customWidth="1"/>
    <col min="5156" max="5157" width="15.7109375" style="259" customWidth="1"/>
    <col min="5158" max="5158" width="16.7109375" style="259" customWidth="1"/>
    <col min="5159" max="5160" width="17.5703125" style="259" customWidth="1"/>
    <col min="5161" max="5161" width="12.140625" style="259" bestFit="1" customWidth="1"/>
    <col min="5162" max="5162" width="9.28515625" style="259" bestFit="1" customWidth="1"/>
    <col min="5163" max="5163" width="12.140625" style="259" bestFit="1" customWidth="1"/>
    <col min="5164" max="5164" width="13.140625" style="259" bestFit="1" customWidth="1"/>
    <col min="5165" max="5405" width="9.140625" style="259"/>
    <col min="5406" max="5406" width="0" style="259" hidden="1" customWidth="1"/>
    <col min="5407" max="5407" width="3" style="259" customWidth="1"/>
    <col min="5408" max="5408" width="2.85546875" style="259" customWidth="1"/>
    <col min="5409" max="5409" width="3.28515625" style="259" customWidth="1"/>
    <col min="5410" max="5410" width="2.7109375" style="259" customWidth="1"/>
    <col min="5411" max="5411" width="54" style="259" customWidth="1"/>
    <col min="5412" max="5413" width="15.7109375" style="259" customWidth="1"/>
    <col min="5414" max="5414" width="16.7109375" style="259" customWidth="1"/>
    <col min="5415" max="5416" width="17.5703125" style="259" customWidth="1"/>
    <col min="5417" max="5417" width="12.140625" style="259" bestFit="1" customWidth="1"/>
    <col min="5418" max="5418" width="9.28515625" style="259" bestFit="1" customWidth="1"/>
    <col min="5419" max="5419" width="12.140625" style="259" bestFit="1" customWidth="1"/>
    <col min="5420" max="5420" width="13.140625" style="259" bestFit="1" customWidth="1"/>
    <col min="5421" max="5661" width="9.140625" style="259"/>
    <col min="5662" max="5662" width="0" style="259" hidden="1" customWidth="1"/>
    <col min="5663" max="5663" width="3" style="259" customWidth="1"/>
    <col min="5664" max="5664" width="2.85546875" style="259" customWidth="1"/>
    <col min="5665" max="5665" width="3.28515625" style="259" customWidth="1"/>
    <col min="5666" max="5666" width="2.7109375" style="259" customWidth="1"/>
    <col min="5667" max="5667" width="54" style="259" customWidth="1"/>
    <col min="5668" max="5669" width="15.7109375" style="259" customWidth="1"/>
    <col min="5670" max="5670" width="16.7109375" style="259" customWidth="1"/>
    <col min="5671" max="5672" width="17.5703125" style="259" customWidth="1"/>
    <col min="5673" max="5673" width="12.140625" style="259" bestFit="1" customWidth="1"/>
    <col min="5674" max="5674" width="9.28515625" style="259" bestFit="1" customWidth="1"/>
    <col min="5675" max="5675" width="12.140625" style="259" bestFit="1" customWidth="1"/>
    <col min="5676" max="5676" width="13.140625" style="259" bestFit="1" customWidth="1"/>
    <col min="5677" max="5917" width="9.140625" style="259"/>
    <col min="5918" max="5918" width="0" style="259" hidden="1" customWidth="1"/>
    <col min="5919" max="5919" width="3" style="259" customWidth="1"/>
    <col min="5920" max="5920" width="2.85546875" style="259" customWidth="1"/>
    <col min="5921" max="5921" width="3.28515625" style="259" customWidth="1"/>
    <col min="5922" max="5922" width="2.7109375" style="259" customWidth="1"/>
    <col min="5923" max="5923" width="54" style="259" customWidth="1"/>
    <col min="5924" max="5925" width="15.7109375" style="259" customWidth="1"/>
    <col min="5926" max="5926" width="16.7109375" style="259" customWidth="1"/>
    <col min="5927" max="5928" width="17.5703125" style="259" customWidth="1"/>
    <col min="5929" max="5929" width="12.140625" style="259" bestFit="1" customWidth="1"/>
    <col min="5930" max="5930" width="9.28515625" style="259" bestFit="1" customWidth="1"/>
    <col min="5931" max="5931" width="12.140625" style="259" bestFit="1" customWidth="1"/>
    <col min="5932" max="5932" width="13.140625" style="259" bestFit="1" customWidth="1"/>
    <col min="5933" max="6173" width="9.140625" style="259"/>
    <col min="6174" max="6174" width="0" style="259" hidden="1" customWidth="1"/>
    <col min="6175" max="6175" width="3" style="259" customWidth="1"/>
    <col min="6176" max="6176" width="2.85546875" style="259" customWidth="1"/>
    <col min="6177" max="6177" width="3.28515625" style="259" customWidth="1"/>
    <col min="6178" max="6178" width="2.7109375" style="259" customWidth="1"/>
    <col min="6179" max="6179" width="54" style="259" customWidth="1"/>
    <col min="6180" max="6181" width="15.7109375" style="259" customWidth="1"/>
    <col min="6182" max="6182" width="16.7109375" style="259" customWidth="1"/>
    <col min="6183" max="6184" width="17.5703125" style="259" customWidth="1"/>
    <col min="6185" max="6185" width="12.140625" style="259" bestFit="1" customWidth="1"/>
    <col min="6186" max="6186" width="9.28515625" style="259" bestFit="1" customWidth="1"/>
    <col min="6187" max="6187" width="12.140625" style="259" bestFit="1" customWidth="1"/>
    <col min="6188" max="6188" width="13.140625" style="259" bestFit="1" customWidth="1"/>
    <col min="6189" max="6429" width="9.140625" style="259"/>
    <col min="6430" max="6430" width="0" style="259" hidden="1" customWidth="1"/>
    <col min="6431" max="6431" width="3" style="259" customWidth="1"/>
    <col min="6432" max="6432" width="2.85546875" style="259" customWidth="1"/>
    <col min="6433" max="6433" width="3.28515625" style="259" customWidth="1"/>
    <col min="6434" max="6434" width="2.7109375" style="259" customWidth="1"/>
    <col min="6435" max="6435" width="54" style="259" customWidth="1"/>
    <col min="6436" max="6437" width="15.7109375" style="259" customWidth="1"/>
    <col min="6438" max="6438" width="16.7109375" style="259" customWidth="1"/>
    <col min="6439" max="6440" width="17.5703125" style="259" customWidth="1"/>
    <col min="6441" max="6441" width="12.140625" style="259" bestFit="1" customWidth="1"/>
    <col min="6442" max="6442" width="9.28515625" style="259" bestFit="1" customWidth="1"/>
    <col min="6443" max="6443" width="12.140625" style="259" bestFit="1" customWidth="1"/>
    <col min="6444" max="6444" width="13.140625" style="259" bestFit="1" customWidth="1"/>
    <col min="6445" max="6685" width="9.140625" style="259"/>
    <col min="6686" max="6686" width="0" style="259" hidden="1" customWidth="1"/>
    <col min="6687" max="6687" width="3" style="259" customWidth="1"/>
    <col min="6688" max="6688" width="2.85546875" style="259" customWidth="1"/>
    <col min="6689" max="6689" width="3.28515625" style="259" customWidth="1"/>
    <col min="6690" max="6690" width="2.7109375" style="259" customWidth="1"/>
    <col min="6691" max="6691" width="54" style="259" customWidth="1"/>
    <col min="6692" max="6693" width="15.7109375" style="259" customWidth="1"/>
    <col min="6694" max="6694" width="16.7109375" style="259" customWidth="1"/>
    <col min="6695" max="6696" width="17.5703125" style="259" customWidth="1"/>
    <col min="6697" max="6697" width="12.140625" style="259" bestFit="1" customWidth="1"/>
    <col min="6698" max="6698" width="9.28515625" style="259" bestFit="1" customWidth="1"/>
    <col min="6699" max="6699" width="12.140625" style="259" bestFit="1" customWidth="1"/>
    <col min="6700" max="6700" width="13.140625" style="259" bestFit="1" customWidth="1"/>
    <col min="6701" max="6941" width="9.140625" style="259"/>
    <col min="6942" max="6942" width="0" style="259" hidden="1" customWidth="1"/>
    <col min="6943" max="6943" width="3" style="259" customWidth="1"/>
    <col min="6944" max="6944" width="2.85546875" style="259" customWidth="1"/>
    <col min="6945" max="6945" width="3.28515625" style="259" customWidth="1"/>
    <col min="6946" max="6946" width="2.7109375" style="259" customWidth="1"/>
    <col min="6947" max="6947" width="54" style="259" customWidth="1"/>
    <col min="6948" max="6949" width="15.7109375" style="259" customWidth="1"/>
    <col min="6950" max="6950" width="16.7109375" style="259" customWidth="1"/>
    <col min="6951" max="6952" width="17.5703125" style="259" customWidth="1"/>
    <col min="6953" max="6953" width="12.140625" style="259" bestFit="1" customWidth="1"/>
    <col min="6954" max="6954" width="9.28515625" style="259" bestFit="1" customWidth="1"/>
    <col min="6955" max="6955" width="12.140625" style="259" bestFit="1" customWidth="1"/>
    <col min="6956" max="6956" width="13.140625" style="259" bestFit="1" customWidth="1"/>
    <col min="6957" max="7197" width="9.140625" style="259"/>
    <col min="7198" max="7198" width="0" style="259" hidden="1" customWidth="1"/>
    <col min="7199" max="7199" width="3" style="259" customWidth="1"/>
    <col min="7200" max="7200" width="2.85546875" style="259" customWidth="1"/>
    <col min="7201" max="7201" width="3.28515625" style="259" customWidth="1"/>
    <col min="7202" max="7202" width="2.7109375" style="259" customWidth="1"/>
    <col min="7203" max="7203" width="54" style="259" customWidth="1"/>
    <col min="7204" max="7205" width="15.7109375" style="259" customWidth="1"/>
    <col min="7206" max="7206" width="16.7109375" style="259" customWidth="1"/>
    <col min="7207" max="7208" width="17.5703125" style="259" customWidth="1"/>
    <col min="7209" max="7209" width="12.140625" style="259" bestFit="1" customWidth="1"/>
    <col min="7210" max="7210" width="9.28515625" style="259" bestFit="1" customWidth="1"/>
    <col min="7211" max="7211" width="12.140625" style="259" bestFit="1" customWidth="1"/>
    <col min="7212" max="7212" width="13.140625" style="259" bestFit="1" customWidth="1"/>
    <col min="7213" max="7453" width="9.140625" style="259"/>
    <col min="7454" max="7454" width="0" style="259" hidden="1" customWidth="1"/>
    <col min="7455" max="7455" width="3" style="259" customWidth="1"/>
    <col min="7456" max="7456" width="2.85546875" style="259" customWidth="1"/>
    <col min="7457" max="7457" width="3.28515625" style="259" customWidth="1"/>
    <col min="7458" max="7458" width="2.7109375" style="259" customWidth="1"/>
    <col min="7459" max="7459" width="54" style="259" customWidth="1"/>
    <col min="7460" max="7461" width="15.7109375" style="259" customWidth="1"/>
    <col min="7462" max="7462" width="16.7109375" style="259" customWidth="1"/>
    <col min="7463" max="7464" width="17.5703125" style="259" customWidth="1"/>
    <col min="7465" max="7465" width="12.140625" style="259" bestFit="1" customWidth="1"/>
    <col min="7466" max="7466" width="9.28515625" style="259" bestFit="1" customWidth="1"/>
    <col min="7467" max="7467" width="12.140625" style="259" bestFit="1" customWidth="1"/>
    <col min="7468" max="7468" width="13.140625" style="259" bestFit="1" customWidth="1"/>
    <col min="7469" max="7709" width="9.140625" style="259"/>
    <col min="7710" max="7710" width="0" style="259" hidden="1" customWidth="1"/>
    <col min="7711" max="7711" width="3" style="259" customWidth="1"/>
    <col min="7712" max="7712" width="2.85546875" style="259" customWidth="1"/>
    <col min="7713" max="7713" width="3.28515625" style="259" customWidth="1"/>
    <col min="7714" max="7714" width="2.7109375" style="259" customWidth="1"/>
    <col min="7715" max="7715" width="54" style="259" customWidth="1"/>
    <col min="7716" max="7717" width="15.7109375" style="259" customWidth="1"/>
    <col min="7718" max="7718" width="16.7109375" style="259" customWidth="1"/>
    <col min="7719" max="7720" width="17.5703125" style="259" customWidth="1"/>
    <col min="7721" max="7721" width="12.140625" style="259" bestFit="1" customWidth="1"/>
    <col min="7722" max="7722" width="9.28515625" style="259" bestFit="1" customWidth="1"/>
    <col min="7723" max="7723" width="12.140625" style="259" bestFit="1" customWidth="1"/>
    <col min="7724" max="7724" width="13.140625" style="259" bestFit="1" customWidth="1"/>
    <col min="7725" max="7965" width="9.140625" style="259"/>
    <col min="7966" max="7966" width="0" style="259" hidden="1" customWidth="1"/>
    <col min="7967" max="7967" width="3" style="259" customWidth="1"/>
    <col min="7968" max="7968" width="2.85546875" style="259" customWidth="1"/>
    <col min="7969" max="7969" width="3.28515625" style="259" customWidth="1"/>
    <col min="7970" max="7970" width="2.7109375" style="259" customWidth="1"/>
    <col min="7971" max="7971" width="54" style="259" customWidth="1"/>
    <col min="7972" max="7973" width="15.7109375" style="259" customWidth="1"/>
    <col min="7974" max="7974" width="16.7109375" style="259" customWidth="1"/>
    <col min="7975" max="7976" width="17.5703125" style="259" customWidth="1"/>
    <col min="7977" max="7977" width="12.140625" style="259" bestFit="1" customWidth="1"/>
    <col min="7978" max="7978" width="9.28515625" style="259" bestFit="1" customWidth="1"/>
    <col min="7979" max="7979" width="12.140625" style="259" bestFit="1" customWidth="1"/>
    <col min="7980" max="7980" width="13.140625" style="259" bestFit="1" customWidth="1"/>
    <col min="7981" max="8221" width="9.140625" style="259"/>
    <col min="8222" max="8222" width="0" style="259" hidden="1" customWidth="1"/>
    <col min="8223" max="8223" width="3" style="259" customWidth="1"/>
    <col min="8224" max="8224" width="2.85546875" style="259" customWidth="1"/>
    <col min="8225" max="8225" width="3.28515625" style="259" customWidth="1"/>
    <col min="8226" max="8226" width="2.7109375" style="259" customWidth="1"/>
    <col min="8227" max="8227" width="54" style="259" customWidth="1"/>
    <col min="8228" max="8229" width="15.7109375" style="259" customWidth="1"/>
    <col min="8230" max="8230" width="16.7109375" style="259" customWidth="1"/>
    <col min="8231" max="8232" width="17.5703125" style="259" customWidth="1"/>
    <col min="8233" max="8233" width="12.140625" style="259" bestFit="1" customWidth="1"/>
    <col min="8234" max="8234" width="9.28515625" style="259" bestFit="1" customWidth="1"/>
    <col min="8235" max="8235" width="12.140625" style="259" bestFit="1" customWidth="1"/>
    <col min="8236" max="8236" width="13.140625" style="259" bestFit="1" customWidth="1"/>
    <col min="8237" max="8477" width="9.140625" style="259"/>
    <col min="8478" max="8478" width="0" style="259" hidden="1" customWidth="1"/>
    <col min="8479" max="8479" width="3" style="259" customWidth="1"/>
    <col min="8480" max="8480" width="2.85546875" style="259" customWidth="1"/>
    <col min="8481" max="8481" width="3.28515625" style="259" customWidth="1"/>
    <col min="8482" max="8482" width="2.7109375" style="259" customWidth="1"/>
    <col min="8483" max="8483" width="54" style="259" customWidth="1"/>
    <col min="8484" max="8485" width="15.7109375" style="259" customWidth="1"/>
    <col min="8486" max="8486" width="16.7109375" style="259" customWidth="1"/>
    <col min="8487" max="8488" width="17.5703125" style="259" customWidth="1"/>
    <col min="8489" max="8489" width="12.140625" style="259" bestFit="1" customWidth="1"/>
    <col min="8490" max="8490" width="9.28515625" style="259" bestFit="1" customWidth="1"/>
    <col min="8491" max="8491" width="12.140625" style="259" bestFit="1" customWidth="1"/>
    <col min="8492" max="8492" width="13.140625" style="259" bestFit="1" customWidth="1"/>
    <col min="8493" max="8733" width="9.140625" style="259"/>
    <col min="8734" max="8734" width="0" style="259" hidden="1" customWidth="1"/>
    <col min="8735" max="8735" width="3" style="259" customWidth="1"/>
    <col min="8736" max="8736" width="2.85546875" style="259" customWidth="1"/>
    <col min="8737" max="8737" width="3.28515625" style="259" customWidth="1"/>
    <col min="8738" max="8738" width="2.7109375" style="259" customWidth="1"/>
    <col min="8739" max="8739" width="54" style="259" customWidth="1"/>
    <col min="8740" max="8741" width="15.7109375" style="259" customWidth="1"/>
    <col min="8742" max="8742" width="16.7109375" style="259" customWidth="1"/>
    <col min="8743" max="8744" width="17.5703125" style="259" customWidth="1"/>
    <col min="8745" max="8745" width="12.140625" style="259" bestFit="1" customWidth="1"/>
    <col min="8746" max="8746" width="9.28515625" style="259" bestFit="1" customWidth="1"/>
    <col min="8747" max="8747" width="12.140625" style="259" bestFit="1" customWidth="1"/>
    <col min="8748" max="8748" width="13.140625" style="259" bestFit="1" customWidth="1"/>
    <col min="8749" max="8989" width="9.140625" style="259"/>
    <col min="8990" max="8990" width="0" style="259" hidden="1" customWidth="1"/>
    <col min="8991" max="8991" width="3" style="259" customWidth="1"/>
    <col min="8992" max="8992" width="2.85546875" style="259" customWidth="1"/>
    <col min="8993" max="8993" width="3.28515625" style="259" customWidth="1"/>
    <col min="8994" max="8994" width="2.7109375" style="259" customWidth="1"/>
    <col min="8995" max="8995" width="54" style="259" customWidth="1"/>
    <col min="8996" max="8997" width="15.7109375" style="259" customWidth="1"/>
    <col min="8998" max="8998" width="16.7109375" style="259" customWidth="1"/>
    <col min="8999" max="9000" width="17.5703125" style="259" customWidth="1"/>
    <col min="9001" max="9001" width="12.140625" style="259" bestFit="1" customWidth="1"/>
    <col min="9002" max="9002" width="9.28515625" style="259" bestFit="1" customWidth="1"/>
    <col min="9003" max="9003" width="12.140625" style="259" bestFit="1" customWidth="1"/>
    <col min="9004" max="9004" width="13.140625" style="259" bestFit="1" customWidth="1"/>
    <col min="9005" max="9245" width="9.140625" style="259"/>
    <col min="9246" max="9246" width="0" style="259" hidden="1" customWidth="1"/>
    <col min="9247" max="9247" width="3" style="259" customWidth="1"/>
    <col min="9248" max="9248" width="2.85546875" style="259" customWidth="1"/>
    <col min="9249" max="9249" width="3.28515625" style="259" customWidth="1"/>
    <col min="9250" max="9250" width="2.7109375" style="259" customWidth="1"/>
    <col min="9251" max="9251" width="54" style="259" customWidth="1"/>
    <col min="9252" max="9253" width="15.7109375" style="259" customWidth="1"/>
    <col min="9254" max="9254" width="16.7109375" style="259" customWidth="1"/>
    <col min="9255" max="9256" width="17.5703125" style="259" customWidth="1"/>
    <col min="9257" max="9257" width="12.140625" style="259" bestFit="1" customWidth="1"/>
    <col min="9258" max="9258" width="9.28515625" style="259" bestFit="1" customWidth="1"/>
    <col min="9259" max="9259" width="12.140625" style="259" bestFit="1" customWidth="1"/>
    <col min="9260" max="9260" width="13.140625" style="259" bestFit="1" customWidth="1"/>
    <col min="9261" max="9501" width="9.140625" style="259"/>
    <col min="9502" max="9502" width="0" style="259" hidden="1" customWidth="1"/>
    <col min="9503" max="9503" width="3" style="259" customWidth="1"/>
    <col min="9504" max="9504" width="2.85546875" style="259" customWidth="1"/>
    <col min="9505" max="9505" width="3.28515625" style="259" customWidth="1"/>
    <col min="9506" max="9506" width="2.7109375" style="259" customWidth="1"/>
    <col min="9507" max="9507" width="54" style="259" customWidth="1"/>
    <col min="9508" max="9509" width="15.7109375" style="259" customWidth="1"/>
    <col min="9510" max="9510" width="16.7109375" style="259" customWidth="1"/>
    <col min="9511" max="9512" width="17.5703125" style="259" customWidth="1"/>
    <col min="9513" max="9513" width="12.140625" style="259" bestFit="1" customWidth="1"/>
    <col min="9514" max="9514" width="9.28515625" style="259" bestFit="1" customWidth="1"/>
    <col min="9515" max="9515" width="12.140625" style="259" bestFit="1" customWidth="1"/>
    <col min="9516" max="9516" width="13.140625" style="259" bestFit="1" customWidth="1"/>
    <col min="9517" max="9757" width="9.140625" style="259"/>
    <col min="9758" max="9758" width="0" style="259" hidden="1" customWidth="1"/>
    <col min="9759" max="9759" width="3" style="259" customWidth="1"/>
    <col min="9760" max="9760" width="2.85546875" style="259" customWidth="1"/>
    <col min="9761" max="9761" width="3.28515625" style="259" customWidth="1"/>
    <col min="9762" max="9762" width="2.7109375" style="259" customWidth="1"/>
    <col min="9763" max="9763" width="54" style="259" customWidth="1"/>
    <col min="9764" max="9765" width="15.7109375" style="259" customWidth="1"/>
    <col min="9766" max="9766" width="16.7109375" style="259" customWidth="1"/>
    <col min="9767" max="9768" width="17.5703125" style="259" customWidth="1"/>
    <col min="9769" max="9769" width="12.140625" style="259" bestFit="1" customWidth="1"/>
    <col min="9770" max="9770" width="9.28515625" style="259" bestFit="1" customWidth="1"/>
    <col min="9771" max="9771" width="12.140625" style="259" bestFit="1" customWidth="1"/>
    <col min="9772" max="9772" width="13.140625" style="259" bestFit="1" customWidth="1"/>
    <col min="9773" max="10013" width="9.140625" style="259"/>
    <col min="10014" max="10014" width="0" style="259" hidden="1" customWidth="1"/>
    <col min="10015" max="10015" width="3" style="259" customWidth="1"/>
    <col min="10016" max="10016" width="2.85546875" style="259" customWidth="1"/>
    <col min="10017" max="10017" width="3.28515625" style="259" customWidth="1"/>
    <col min="10018" max="10018" width="2.7109375" style="259" customWidth="1"/>
    <col min="10019" max="10019" width="54" style="259" customWidth="1"/>
    <col min="10020" max="10021" width="15.7109375" style="259" customWidth="1"/>
    <col min="10022" max="10022" width="16.7109375" style="259" customWidth="1"/>
    <col min="10023" max="10024" width="17.5703125" style="259" customWidth="1"/>
    <col min="10025" max="10025" width="12.140625" style="259" bestFit="1" customWidth="1"/>
    <col min="10026" max="10026" width="9.28515625" style="259" bestFit="1" customWidth="1"/>
    <col min="10027" max="10027" width="12.140625" style="259" bestFit="1" customWidth="1"/>
    <col min="10028" max="10028" width="13.140625" style="259" bestFit="1" customWidth="1"/>
    <col min="10029" max="10269" width="9.140625" style="259"/>
    <col min="10270" max="10270" width="0" style="259" hidden="1" customWidth="1"/>
    <col min="10271" max="10271" width="3" style="259" customWidth="1"/>
    <col min="10272" max="10272" width="2.85546875" style="259" customWidth="1"/>
    <col min="10273" max="10273" width="3.28515625" style="259" customWidth="1"/>
    <col min="10274" max="10274" width="2.7109375" style="259" customWidth="1"/>
    <col min="10275" max="10275" width="54" style="259" customWidth="1"/>
    <col min="10276" max="10277" width="15.7109375" style="259" customWidth="1"/>
    <col min="10278" max="10278" width="16.7109375" style="259" customWidth="1"/>
    <col min="10279" max="10280" width="17.5703125" style="259" customWidth="1"/>
    <col min="10281" max="10281" width="12.140625" style="259" bestFit="1" customWidth="1"/>
    <col min="10282" max="10282" width="9.28515625" style="259" bestFit="1" customWidth="1"/>
    <col min="10283" max="10283" width="12.140625" style="259" bestFit="1" customWidth="1"/>
    <col min="10284" max="10284" width="13.140625" style="259" bestFit="1" customWidth="1"/>
    <col min="10285" max="10525" width="9.140625" style="259"/>
    <col min="10526" max="10526" width="0" style="259" hidden="1" customWidth="1"/>
    <col min="10527" max="10527" width="3" style="259" customWidth="1"/>
    <col min="10528" max="10528" width="2.85546875" style="259" customWidth="1"/>
    <col min="10529" max="10529" width="3.28515625" style="259" customWidth="1"/>
    <col min="10530" max="10530" width="2.7109375" style="259" customWidth="1"/>
    <col min="10531" max="10531" width="54" style="259" customWidth="1"/>
    <col min="10532" max="10533" width="15.7109375" style="259" customWidth="1"/>
    <col min="10534" max="10534" width="16.7109375" style="259" customWidth="1"/>
    <col min="10535" max="10536" width="17.5703125" style="259" customWidth="1"/>
    <col min="10537" max="10537" width="12.140625" style="259" bestFit="1" customWidth="1"/>
    <col min="10538" max="10538" width="9.28515625" style="259" bestFit="1" customWidth="1"/>
    <col min="10539" max="10539" width="12.140625" style="259" bestFit="1" customWidth="1"/>
    <col min="10540" max="10540" width="13.140625" style="259" bestFit="1" customWidth="1"/>
    <col min="10541" max="10781" width="9.140625" style="259"/>
    <col min="10782" max="10782" width="0" style="259" hidden="1" customWidth="1"/>
    <col min="10783" max="10783" width="3" style="259" customWidth="1"/>
    <col min="10784" max="10784" width="2.85546875" style="259" customWidth="1"/>
    <col min="10785" max="10785" width="3.28515625" style="259" customWidth="1"/>
    <col min="10786" max="10786" width="2.7109375" style="259" customWidth="1"/>
    <col min="10787" max="10787" width="54" style="259" customWidth="1"/>
    <col min="10788" max="10789" width="15.7109375" style="259" customWidth="1"/>
    <col min="10790" max="10790" width="16.7109375" style="259" customWidth="1"/>
    <col min="10791" max="10792" width="17.5703125" style="259" customWidth="1"/>
    <col min="10793" max="10793" width="12.140625" style="259" bestFit="1" customWidth="1"/>
    <col min="10794" max="10794" width="9.28515625" style="259" bestFit="1" customWidth="1"/>
    <col min="10795" max="10795" width="12.140625" style="259" bestFit="1" customWidth="1"/>
    <col min="10796" max="10796" width="13.140625" style="259" bestFit="1" customWidth="1"/>
    <col min="10797" max="11037" width="9.140625" style="259"/>
    <col min="11038" max="11038" width="0" style="259" hidden="1" customWidth="1"/>
    <col min="11039" max="11039" width="3" style="259" customWidth="1"/>
    <col min="11040" max="11040" width="2.85546875" style="259" customWidth="1"/>
    <col min="11041" max="11041" width="3.28515625" style="259" customWidth="1"/>
    <col min="11042" max="11042" width="2.7109375" style="259" customWidth="1"/>
    <col min="11043" max="11043" width="54" style="259" customWidth="1"/>
    <col min="11044" max="11045" width="15.7109375" style="259" customWidth="1"/>
    <col min="11046" max="11046" width="16.7109375" style="259" customWidth="1"/>
    <col min="11047" max="11048" width="17.5703125" style="259" customWidth="1"/>
    <col min="11049" max="11049" width="12.140625" style="259" bestFit="1" customWidth="1"/>
    <col min="11050" max="11050" width="9.28515625" style="259" bestFit="1" customWidth="1"/>
    <col min="11051" max="11051" width="12.140625" style="259" bestFit="1" customWidth="1"/>
    <col min="11052" max="11052" width="13.140625" style="259" bestFit="1" customWidth="1"/>
    <col min="11053" max="11293" width="9.140625" style="259"/>
    <col min="11294" max="11294" width="0" style="259" hidden="1" customWidth="1"/>
    <col min="11295" max="11295" width="3" style="259" customWidth="1"/>
    <col min="11296" max="11296" width="2.85546875" style="259" customWidth="1"/>
    <col min="11297" max="11297" width="3.28515625" style="259" customWidth="1"/>
    <col min="11298" max="11298" width="2.7109375" style="259" customWidth="1"/>
    <col min="11299" max="11299" width="54" style="259" customWidth="1"/>
    <col min="11300" max="11301" width="15.7109375" style="259" customWidth="1"/>
    <col min="11302" max="11302" width="16.7109375" style="259" customWidth="1"/>
    <col min="11303" max="11304" width="17.5703125" style="259" customWidth="1"/>
    <col min="11305" max="11305" width="12.140625" style="259" bestFit="1" customWidth="1"/>
    <col min="11306" max="11306" width="9.28515625" style="259" bestFit="1" customWidth="1"/>
    <col min="11307" max="11307" width="12.140625" style="259" bestFit="1" customWidth="1"/>
    <col min="11308" max="11308" width="13.140625" style="259" bestFit="1" customWidth="1"/>
    <col min="11309" max="11549" width="9.140625" style="259"/>
    <col min="11550" max="11550" width="0" style="259" hidden="1" customWidth="1"/>
    <col min="11551" max="11551" width="3" style="259" customWidth="1"/>
    <col min="11552" max="11552" width="2.85546875" style="259" customWidth="1"/>
    <col min="11553" max="11553" width="3.28515625" style="259" customWidth="1"/>
    <col min="11554" max="11554" width="2.7109375" style="259" customWidth="1"/>
    <col min="11555" max="11555" width="54" style="259" customWidth="1"/>
    <col min="11556" max="11557" width="15.7109375" style="259" customWidth="1"/>
    <col min="11558" max="11558" width="16.7109375" style="259" customWidth="1"/>
    <col min="11559" max="11560" width="17.5703125" style="259" customWidth="1"/>
    <col min="11561" max="11561" width="12.140625" style="259" bestFit="1" customWidth="1"/>
    <col min="11562" max="11562" width="9.28515625" style="259" bestFit="1" customWidth="1"/>
    <col min="11563" max="11563" width="12.140625" style="259" bestFit="1" customWidth="1"/>
    <col min="11564" max="11564" width="13.140625" style="259" bestFit="1" customWidth="1"/>
    <col min="11565" max="11805" width="9.140625" style="259"/>
    <col min="11806" max="11806" width="0" style="259" hidden="1" customWidth="1"/>
    <col min="11807" max="11807" width="3" style="259" customWidth="1"/>
    <col min="11808" max="11808" width="2.85546875" style="259" customWidth="1"/>
    <col min="11809" max="11809" width="3.28515625" style="259" customWidth="1"/>
    <col min="11810" max="11810" width="2.7109375" style="259" customWidth="1"/>
    <col min="11811" max="11811" width="54" style="259" customWidth="1"/>
    <col min="11812" max="11813" width="15.7109375" style="259" customWidth="1"/>
    <col min="11814" max="11814" width="16.7109375" style="259" customWidth="1"/>
    <col min="11815" max="11816" width="17.5703125" style="259" customWidth="1"/>
    <col min="11817" max="11817" width="12.140625" style="259" bestFit="1" customWidth="1"/>
    <col min="11818" max="11818" width="9.28515625" style="259" bestFit="1" customWidth="1"/>
    <col min="11819" max="11819" width="12.140625" style="259" bestFit="1" customWidth="1"/>
    <col min="11820" max="11820" width="13.140625" style="259" bestFit="1" customWidth="1"/>
    <col min="11821" max="12061" width="9.140625" style="259"/>
    <col min="12062" max="12062" width="0" style="259" hidden="1" customWidth="1"/>
    <col min="12063" max="12063" width="3" style="259" customWidth="1"/>
    <col min="12064" max="12064" width="2.85546875" style="259" customWidth="1"/>
    <col min="12065" max="12065" width="3.28515625" style="259" customWidth="1"/>
    <col min="12066" max="12066" width="2.7109375" style="259" customWidth="1"/>
    <col min="12067" max="12067" width="54" style="259" customWidth="1"/>
    <col min="12068" max="12069" width="15.7109375" style="259" customWidth="1"/>
    <col min="12070" max="12070" width="16.7109375" style="259" customWidth="1"/>
    <col min="12071" max="12072" width="17.5703125" style="259" customWidth="1"/>
    <col min="12073" max="12073" width="12.140625" style="259" bestFit="1" customWidth="1"/>
    <col min="12074" max="12074" width="9.28515625" style="259" bestFit="1" customWidth="1"/>
    <col min="12075" max="12075" width="12.140625" style="259" bestFit="1" customWidth="1"/>
    <col min="12076" max="12076" width="13.140625" style="259" bestFit="1" customWidth="1"/>
    <col min="12077" max="12317" width="9.140625" style="259"/>
    <col min="12318" max="12318" width="0" style="259" hidden="1" customWidth="1"/>
    <col min="12319" max="12319" width="3" style="259" customWidth="1"/>
    <col min="12320" max="12320" width="2.85546875" style="259" customWidth="1"/>
    <col min="12321" max="12321" width="3.28515625" style="259" customWidth="1"/>
    <col min="12322" max="12322" width="2.7109375" style="259" customWidth="1"/>
    <col min="12323" max="12323" width="54" style="259" customWidth="1"/>
    <col min="12324" max="12325" width="15.7109375" style="259" customWidth="1"/>
    <col min="12326" max="12326" width="16.7109375" style="259" customWidth="1"/>
    <col min="12327" max="12328" width="17.5703125" style="259" customWidth="1"/>
    <col min="12329" max="12329" width="12.140625" style="259" bestFit="1" customWidth="1"/>
    <col min="12330" max="12330" width="9.28515625" style="259" bestFit="1" customWidth="1"/>
    <col min="12331" max="12331" width="12.140625" style="259" bestFit="1" customWidth="1"/>
    <col min="12332" max="12332" width="13.140625" style="259" bestFit="1" customWidth="1"/>
    <col min="12333" max="12573" width="9.140625" style="259"/>
    <col min="12574" max="12574" width="0" style="259" hidden="1" customWidth="1"/>
    <col min="12575" max="12575" width="3" style="259" customWidth="1"/>
    <col min="12576" max="12576" width="2.85546875" style="259" customWidth="1"/>
    <col min="12577" max="12577" width="3.28515625" style="259" customWidth="1"/>
    <col min="12578" max="12578" width="2.7109375" style="259" customWidth="1"/>
    <col min="12579" max="12579" width="54" style="259" customWidth="1"/>
    <col min="12580" max="12581" width="15.7109375" style="259" customWidth="1"/>
    <col min="12582" max="12582" width="16.7109375" style="259" customWidth="1"/>
    <col min="12583" max="12584" width="17.5703125" style="259" customWidth="1"/>
    <col min="12585" max="12585" width="12.140625" style="259" bestFit="1" customWidth="1"/>
    <col min="12586" max="12586" width="9.28515625" style="259" bestFit="1" customWidth="1"/>
    <col min="12587" max="12587" width="12.140625" style="259" bestFit="1" customWidth="1"/>
    <col min="12588" max="12588" width="13.140625" style="259" bestFit="1" customWidth="1"/>
    <col min="12589" max="12829" width="9.140625" style="259"/>
    <col min="12830" max="12830" width="0" style="259" hidden="1" customWidth="1"/>
    <col min="12831" max="12831" width="3" style="259" customWidth="1"/>
    <col min="12832" max="12832" width="2.85546875" style="259" customWidth="1"/>
    <col min="12833" max="12833" width="3.28515625" style="259" customWidth="1"/>
    <col min="12834" max="12834" width="2.7109375" style="259" customWidth="1"/>
    <col min="12835" max="12835" width="54" style="259" customWidth="1"/>
    <col min="12836" max="12837" width="15.7109375" style="259" customWidth="1"/>
    <col min="12838" max="12838" width="16.7109375" style="259" customWidth="1"/>
    <col min="12839" max="12840" width="17.5703125" style="259" customWidth="1"/>
    <col min="12841" max="12841" width="12.140625" style="259" bestFit="1" customWidth="1"/>
    <col min="12842" max="12842" width="9.28515625" style="259" bestFit="1" customWidth="1"/>
    <col min="12843" max="12843" width="12.140625" style="259" bestFit="1" customWidth="1"/>
    <col min="12844" max="12844" width="13.140625" style="259" bestFit="1" customWidth="1"/>
    <col min="12845" max="13085" width="9.140625" style="259"/>
    <col min="13086" max="13086" width="0" style="259" hidden="1" customWidth="1"/>
    <col min="13087" max="13087" width="3" style="259" customWidth="1"/>
    <col min="13088" max="13088" width="2.85546875" style="259" customWidth="1"/>
    <col min="13089" max="13089" width="3.28515625" style="259" customWidth="1"/>
    <col min="13090" max="13090" width="2.7109375" style="259" customWidth="1"/>
    <col min="13091" max="13091" width="54" style="259" customWidth="1"/>
    <col min="13092" max="13093" width="15.7109375" style="259" customWidth="1"/>
    <col min="13094" max="13094" width="16.7109375" style="259" customWidth="1"/>
    <col min="13095" max="13096" width="17.5703125" style="259" customWidth="1"/>
    <col min="13097" max="13097" width="12.140625" style="259" bestFit="1" customWidth="1"/>
    <col min="13098" max="13098" width="9.28515625" style="259" bestFit="1" customWidth="1"/>
    <col min="13099" max="13099" width="12.140625" style="259" bestFit="1" customWidth="1"/>
    <col min="13100" max="13100" width="13.140625" style="259" bestFit="1" customWidth="1"/>
    <col min="13101" max="13341" width="9.140625" style="259"/>
    <col min="13342" max="13342" width="0" style="259" hidden="1" customWidth="1"/>
    <col min="13343" max="13343" width="3" style="259" customWidth="1"/>
    <col min="13344" max="13344" width="2.85546875" style="259" customWidth="1"/>
    <col min="13345" max="13345" width="3.28515625" style="259" customWidth="1"/>
    <col min="13346" max="13346" width="2.7109375" style="259" customWidth="1"/>
    <col min="13347" max="13347" width="54" style="259" customWidth="1"/>
    <col min="13348" max="13349" width="15.7109375" style="259" customWidth="1"/>
    <col min="13350" max="13350" width="16.7109375" style="259" customWidth="1"/>
    <col min="13351" max="13352" width="17.5703125" style="259" customWidth="1"/>
    <col min="13353" max="13353" width="12.140625" style="259" bestFit="1" customWidth="1"/>
    <col min="13354" max="13354" width="9.28515625" style="259" bestFit="1" customWidth="1"/>
    <col min="13355" max="13355" width="12.140625" style="259" bestFit="1" customWidth="1"/>
    <col min="13356" max="13356" width="13.140625" style="259" bestFit="1" customWidth="1"/>
    <col min="13357" max="13597" width="9.140625" style="259"/>
    <col min="13598" max="13598" width="0" style="259" hidden="1" customWidth="1"/>
    <col min="13599" max="13599" width="3" style="259" customWidth="1"/>
    <col min="13600" max="13600" width="2.85546875" style="259" customWidth="1"/>
    <col min="13601" max="13601" width="3.28515625" style="259" customWidth="1"/>
    <col min="13602" max="13602" width="2.7109375" style="259" customWidth="1"/>
    <col min="13603" max="13603" width="54" style="259" customWidth="1"/>
    <col min="13604" max="13605" width="15.7109375" style="259" customWidth="1"/>
    <col min="13606" max="13606" width="16.7109375" style="259" customWidth="1"/>
    <col min="13607" max="13608" width="17.5703125" style="259" customWidth="1"/>
    <col min="13609" max="13609" width="12.140625" style="259" bestFit="1" customWidth="1"/>
    <col min="13610" max="13610" width="9.28515625" style="259" bestFit="1" customWidth="1"/>
    <col min="13611" max="13611" width="12.140625" style="259" bestFit="1" customWidth="1"/>
    <col min="13612" max="13612" width="13.140625" style="259" bestFit="1" customWidth="1"/>
    <col min="13613" max="13853" width="9.140625" style="259"/>
    <col min="13854" max="13854" width="0" style="259" hidden="1" customWidth="1"/>
    <col min="13855" max="13855" width="3" style="259" customWidth="1"/>
    <col min="13856" max="13856" width="2.85546875" style="259" customWidth="1"/>
    <col min="13857" max="13857" width="3.28515625" style="259" customWidth="1"/>
    <col min="13858" max="13858" width="2.7109375" style="259" customWidth="1"/>
    <col min="13859" max="13859" width="54" style="259" customWidth="1"/>
    <col min="13860" max="13861" width="15.7109375" style="259" customWidth="1"/>
    <col min="13862" max="13862" width="16.7109375" style="259" customWidth="1"/>
    <col min="13863" max="13864" width="17.5703125" style="259" customWidth="1"/>
    <col min="13865" max="13865" width="12.140625" style="259" bestFit="1" customWidth="1"/>
    <col min="13866" max="13866" width="9.28515625" style="259" bestFit="1" customWidth="1"/>
    <col min="13867" max="13867" width="12.140625" style="259" bestFit="1" customWidth="1"/>
    <col min="13868" max="13868" width="13.140625" style="259" bestFit="1" customWidth="1"/>
    <col min="13869" max="14109" width="9.140625" style="259"/>
    <col min="14110" max="14110" width="0" style="259" hidden="1" customWidth="1"/>
    <col min="14111" max="14111" width="3" style="259" customWidth="1"/>
    <col min="14112" max="14112" width="2.85546875" style="259" customWidth="1"/>
    <col min="14113" max="14113" width="3.28515625" style="259" customWidth="1"/>
    <col min="14114" max="14114" width="2.7109375" style="259" customWidth="1"/>
    <col min="14115" max="14115" width="54" style="259" customWidth="1"/>
    <col min="14116" max="14117" width="15.7109375" style="259" customWidth="1"/>
    <col min="14118" max="14118" width="16.7109375" style="259" customWidth="1"/>
    <col min="14119" max="14120" width="17.5703125" style="259" customWidth="1"/>
    <col min="14121" max="14121" width="12.140625" style="259" bestFit="1" customWidth="1"/>
    <col min="14122" max="14122" width="9.28515625" style="259" bestFit="1" customWidth="1"/>
    <col min="14123" max="14123" width="12.140625" style="259" bestFit="1" customWidth="1"/>
    <col min="14124" max="14124" width="13.140625" style="259" bestFit="1" customWidth="1"/>
    <col min="14125" max="14365" width="9.140625" style="259"/>
    <col min="14366" max="14366" width="0" style="259" hidden="1" customWidth="1"/>
    <col min="14367" max="14367" width="3" style="259" customWidth="1"/>
    <col min="14368" max="14368" width="2.85546875" style="259" customWidth="1"/>
    <col min="14369" max="14369" width="3.28515625" style="259" customWidth="1"/>
    <col min="14370" max="14370" width="2.7109375" style="259" customWidth="1"/>
    <col min="14371" max="14371" width="54" style="259" customWidth="1"/>
    <col min="14372" max="14373" width="15.7109375" style="259" customWidth="1"/>
    <col min="14374" max="14374" width="16.7109375" style="259" customWidth="1"/>
    <col min="14375" max="14376" width="17.5703125" style="259" customWidth="1"/>
    <col min="14377" max="14377" width="12.140625" style="259" bestFit="1" customWidth="1"/>
    <col min="14378" max="14378" width="9.28515625" style="259" bestFit="1" customWidth="1"/>
    <col min="14379" max="14379" width="12.140625" style="259" bestFit="1" customWidth="1"/>
    <col min="14380" max="14380" width="13.140625" style="259" bestFit="1" customWidth="1"/>
    <col min="14381" max="14621" width="9.140625" style="259"/>
    <col min="14622" max="14622" width="0" style="259" hidden="1" customWidth="1"/>
    <col min="14623" max="14623" width="3" style="259" customWidth="1"/>
    <col min="14624" max="14624" width="2.85546875" style="259" customWidth="1"/>
    <col min="14625" max="14625" width="3.28515625" style="259" customWidth="1"/>
    <col min="14626" max="14626" width="2.7109375" style="259" customWidth="1"/>
    <col min="14627" max="14627" width="54" style="259" customWidth="1"/>
    <col min="14628" max="14629" width="15.7109375" style="259" customWidth="1"/>
    <col min="14630" max="14630" width="16.7109375" style="259" customWidth="1"/>
    <col min="14631" max="14632" width="17.5703125" style="259" customWidth="1"/>
    <col min="14633" max="14633" width="12.140625" style="259" bestFit="1" customWidth="1"/>
    <col min="14634" max="14634" width="9.28515625" style="259" bestFit="1" customWidth="1"/>
    <col min="14635" max="14635" width="12.140625" style="259" bestFit="1" customWidth="1"/>
    <col min="14636" max="14636" width="13.140625" style="259" bestFit="1" customWidth="1"/>
    <col min="14637" max="14877" width="9.140625" style="259"/>
    <col min="14878" max="14878" width="0" style="259" hidden="1" customWidth="1"/>
    <col min="14879" max="14879" width="3" style="259" customWidth="1"/>
    <col min="14880" max="14880" width="2.85546875" style="259" customWidth="1"/>
    <col min="14881" max="14881" width="3.28515625" style="259" customWidth="1"/>
    <col min="14882" max="14882" width="2.7109375" style="259" customWidth="1"/>
    <col min="14883" max="14883" width="54" style="259" customWidth="1"/>
    <col min="14884" max="14885" width="15.7109375" style="259" customWidth="1"/>
    <col min="14886" max="14886" width="16.7109375" style="259" customWidth="1"/>
    <col min="14887" max="14888" width="17.5703125" style="259" customWidth="1"/>
    <col min="14889" max="14889" width="12.140625" style="259" bestFit="1" customWidth="1"/>
    <col min="14890" max="14890" width="9.28515625" style="259" bestFit="1" customWidth="1"/>
    <col min="14891" max="14891" width="12.140625" style="259" bestFit="1" customWidth="1"/>
    <col min="14892" max="14892" width="13.140625" style="259" bestFit="1" customWidth="1"/>
    <col min="14893" max="15133" width="9.140625" style="259"/>
    <col min="15134" max="15134" width="0" style="259" hidden="1" customWidth="1"/>
    <col min="15135" max="15135" width="3" style="259" customWidth="1"/>
    <col min="15136" max="15136" width="2.85546875" style="259" customWidth="1"/>
    <col min="15137" max="15137" width="3.28515625" style="259" customWidth="1"/>
    <col min="15138" max="15138" width="2.7109375" style="259" customWidth="1"/>
    <col min="15139" max="15139" width="54" style="259" customWidth="1"/>
    <col min="15140" max="15141" width="15.7109375" style="259" customWidth="1"/>
    <col min="15142" max="15142" width="16.7109375" style="259" customWidth="1"/>
    <col min="15143" max="15144" width="17.5703125" style="259" customWidth="1"/>
    <col min="15145" max="15145" width="12.140625" style="259" bestFit="1" customWidth="1"/>
    <col min="15146" max="15146" width="9.28515625" style="259" bestFit="1" customWidth="1"/>
    <col min="15147" max="15147" width="12.140625" style="259" bestFit="1" customWidth="1"/>
    <col min="15148" max="15148" width="13.140625" style="259" bestFit="1" customWidth="1"/>
    <col min="15149" max="15389" width="9.140625" style="259"/>
    <col min="15390" max="15390" width="0" style="259" hidden="1" customWidth="1"/>
    <col min="15391" max="15391" width="3" style="259" customWidth="1"/>
    <col min="15392" max="15392" width="2.85546875" style="259" customWidth="1"/>
    <col min="15393" max="15393" width="3.28515625" style="259" customWidth="1"/>
    <col min="15394" max="15394" width="2.7109375" style="259" customWidth="1"/>
    <col min="15395" max="15395" width="54" style="259" customWidth="1"/>
    <col min="15396" max="15397" width="15.7109375" style="259" customWidth="1"/>
    <col min="15398" max="15398" width="16.7109375" style="259" customWidth="1"/>
    <col min="15399" max="15400" width="17.5703125" style="259" customWidth="1"/>
    <col min="15401" max="15401" width="12.140625" style="259" bestFit="1" customWidth="1"/>
    <col min="15402" max="15402" width="9.28515625" style="259" bestFit="1" customWidth="1"/>
    <col min="15403" max="15403" width="12.140625" style="259" bestFit="1" customWidth="1"/>
    <col min="15404" max="15404" width="13.140625" style="259" bestFit="1" customWidth="1"/>
    <col min="15405" max="15645" width="9.140625" style="259"/>
    <col min="15646" max="15646" width="0" style="259" hidden="1" customWidth="1"/>
    <col min="15647" max="15647" width="3" style="259" customWidth="1"/>
    <col min="15648" max="15648" width="2.85546875" style="259" customWidth="1"/>
    <col min="15649" max="15649" width="3.28515625" style="259" customWidth="1"/>
    <col min="15650" max="15650" width="2.7109375" style="259" customWidth="1"/>
    <col min="15651" max="15651" width="54" style="259" customWidth="1"/>
    <col min="15652" max="15653" width="15.7109375" style="259" customWidth="1"/>
    <col min="15654" max="15654" width="16.7109375" style="259" customWidth="1"/>
    <col min="15655" max="15656" width="17.5703125" style="259" customWidth="1"/>
    <col min="15657" max="15657" width="12.140625" style="259" bestFit="1" customWidth="1"/>
    <col min="15658" max="15658" width="9.28515625" style="259" bestFit="1" customWidth="1"/>
    <col min="15659" max="15659" width="12.140625" style="259" bestFit="1" customWidth="1"/>
    <col min="15660" max="15660" width="13.140625" style="259" bestFit="1" customWidth="1"/>
    <col min="15661" max="15901" width="9.140625" style="259"/>
    <col min="15902" max="15902" width="0" style="259" hidden="1" customWidth="1"/>
    <col min="15903" max="15903" width="3" style="259" customWidth="1"/>
    <col min="15904" max="15904" width="2.85546875" style="259" customWidth="1"/>
    <col min="15905" max="15905" width="3.28515625" style="259" customWidth="1"/>
    <col min="15906" max="15906" width="2.7109375" style="259" customWidth="1"/>
    <col min="15907" max="15907" width="54" style="259" customWidth="1"/>
    <col min="15908" max="15909" width="15.7109375" style="259" customWidth="1"/>
    <col min="15910" max="15910" width="16.7109375" style="259" customWidth="1"/>
    <col min="15911" max="15912" width="17.5703125" style="259" customWidth="1"/>
    <col min="15913" max="15913" width="12.140625" style="259" bestFit="1" customWidth="1"/>
    <col min="15914" max="15914" width="9.28515625" style="259" bestFit="1" customWidth="1"/>
    <col min="15915" max="15915" width="12.140625" style="259" bestFit="1" customWidth="1"/>
    <col min="15916" max="15916" width="13.140625" style="259" bestFit="1" customWidth="1"/>
    <col min="15917" max="16157" width="9.140625" style="259"/>
    <col min="16158" max="16158" width="0" style="259" hidden="1" customWidth="1"/>
    <col min="16159" max="16159" width="3" style="259" customWidth="1"/>
    <col min="16160" max="16160" width="2.85546875" style="259" customWidth="1"/>
    <col min="16161" max="16161" width="3.28515625" style="259" customWidth="1"/>
    <col min="16162" max="16162" width="2.7109375" style="259" customWidth="1"/>
    <col min="16163" max="16163" width="54" style="259" customWidth="1"/>
    <col min="16164" max="16165" width="15.7109375" style="259" customWidth="1"/>
    <col min="16166" max="16166" width="16.7109375" style="259" customWidth="1"/>
    <col min="16167" max="16168" width="17.5703125" style="259" customWidth="1"/>
    <col min="16169" max="16169" width="12.140625" style="259" bestFit="1" customWidth="1"/>
    <col min="16170" max="16170" width="9.28515625" style="259" bestFit="1" customWidth="1"/>
    <col min="16171" max="16171" width="12.140625" style="259" bestFit="1" customWidth="1"/>
    <col min="16172" max="16172" width="13.140625" style="259" bestFit="1" customWidth="1"/>
    <col min="16173" max="16384" width="9.140625" style="259"/>
  </cols>
  <sheetData>
    <row r="1" spans="1:82" s="10" customFormat="1" ht="50.1" customHeight="1" x14ac:dyDescent="0.25">
      <c r="A1" s="1" t="s">
        <v>0</v>
      </c>
      <c r="B1" s="2" t="s">
        <v>1</v>
      </c>
      <c r="C1" s="2"/>
      <c r="D1" s="2"/>
      <c r="E1" s="2"/>
      <c r="F1" s="2"/>
      <c r="G1" s="3" t="s">
        <v>2</v>
      </c>
      <c r="H1" s="3" t="s">
        <v>3</v>
      </c>
      <c r="I1" s="3" t="s">
        <v>4</v>
      </c>
      <c r="J1" s="3"/>
      <c r="K1" s="3" t="s">
        <v>5</v>
      </c>
      <c r="L1" s="3" t="s">
        <v>6</v>
      </c>
      <c r="M1" s="4" t="s">
        <v>7</v>
      </c>
      <c r="N1" s="3" t="s">
        <v>8</v>
      </c>
      <c r="O1" s="3" t="s">
        <v>9</v>
      </c>
      <c r="P1" s="3" t="s">
        <v>10</v>
      </c>
      <c r="Q1" s="3" t="s">
        <v>11</v>
      </c>
      <c r="R1" s="3" t="s">
        <v>12</v>
      </c>
      <c r="S1" s="3" t="s">
        <v>13</v>
      </c>
      <c r="T1" s="3" t="s">
        <v>14</v>
      </c>
      <c r="U1" s="3" t="s">
        <v>15</v>
      </c>
      <c r="V1" s="3" t="s">
        <v>16</v>
      </c>
      <c r="W1" s="3" t="s">
        <v>17</v>
      </c>
      <c r="X1" s="3" t="s">
        <v>18</v>
      </c>
      <c r="Y1" s="3" t="s">
        <v>19</v>
      </c>
      <c r="Z1" s="5" t="s">
        <v>20</v>
      </c>
      <c r="AA1" s="5" t="s">
        <v>21</v>
      </c>
      <c r="AB1" s="5" t="s">
        <v>22</v>
      </c>
      <c r="AC1" s="6"/>
      <c r="AD1" s="6"/>
      <c r="AE1" s="6"/>
      <c r="AF1" s="6"/>
      <c r="AG1" s="6"/>
      <c r="AH1" s="5" t="s">
        <v>23</v>
      </c>
      <c r="AI1" s="5" t="s">
        <v>24</v>
      </c>
      <c r="AJ1" s="5" t="s">
        <v>25</v>
      </c>
      <c r="AK1" s="7" t="s">
        <v>26</v>
      </c>
      <c r="AL1" s="5" t="s">
        <v>27</v>
      </c>
      <c r="AM1" s="8" t="s">
        <v>28</v>
      </c>
      <c r="AN1" s="9" t="s">
        <v>29</v>
      </c>
      <c r="AO1" s="5" t="s">
        <v>30</v>
      </c>
      <c r="AQ1" s="11" t="s">
        <v>31</v>
      </c>
      <c r="AR1" s="11" t="s">
        <v>32</v>
      </c>
      <c r="AS1" s="11" t="s">
        <v>33</v>
      </c>
      <c r="AT1" s="7" t="s">
        <v>34</v>
      </c>
      <c r="AU1" s="5" t="s">
        <v>35</v>
      </c>
      <c r="AV1" s="5" t="s">
        <v>36</v>
      </c>
      <c r="AW1" s="5" t="s">
        <v>29</v>
      </c>
      <c r="AX1" s="12" t="s">
        <v>37</v>
      </c>
      <c r="AY1" s="13" t="s">
        <v>38</v>
      </c>
      <c r="AZ1" s="5" t="s">
        <v>39</v>
      </c>
      <c r="BE1" s="5" t="s">
        <v>40</v>
      </c>
      <c r="BF1" s="5" t="s">
        <v>41</v>
      </c>
      <c r="BG1" s="5" t="s">
        <v>42</v>
      </c>
      <c r="BH1" s="5" t="s">
        <v>43</v>
      </c>
      <c r="BI1" s="14" t="s">
        <v>44</v>
      </c>
      <c r="BJ1" s="5" t="s">
        <v>45</v>
      </c>
      <c r="BK1" s="5" t="s">
        <v>46</v>
      </c>
      <c r="BL1" s="5" t="s">
        <v>47</v>
      </c>
      <c r="BM1" s="5" t="s">
        <v>48</v>
      </c>
      <c r="BN1" s="15" t="s">
        <v>49</v>
      </c>
      <c r="BO1" s="15" t="s">
        <v>50</v>
      </c>
      <c r="BP1" s="5" t="s">
        <v>51</v>
      </c>
      <c r="BQ1" s="5" t="s">
        <v>38</v>
      </c>
      <c r="BR1" s="5" t="s">
        <v>52</v>
      </c>
      <c r="BS1" s="15" t="s">
        <v>53</v>
      </c>
      <c r="BT1" s="15" t="s">
        <v>54</v>
      </c>
      <c r="BU1" s="5" t="s">
        <v>55</v>
      </c>
      <c r="BV1" s="16" t="s">
        <v>56</v>
      </c>
      <c r="BY1" s="17"/>
      <c r="BZ1" s="17"/>
      <c r="CD1" s="5" t="s">
        <v>57</v>
      </c>
    </row>
    <row r="2" spans="1:82" s="35" customFormat="1" ht="18" customHeight="1" x14ac:dyDescent="0.25">
      <c r="A2" s="18" t="s">
        <v>58</v>
      </c>
      <c r="B2" s="18" t="s">
        <v>59</v>
      </c>
      <c r="C2" s="18"/>
      <c r="D2" s="18"/>
      <c r="E2" s="19"/>
      <c r="F2" s="18"/>
      <c r="G2" s="20">
        <f t="shared" ref="G2:Q2" si="0">G3+G48</f>
        <v>12326850</v>
      </c>
      <c r="H2" s="20">
        <f t="shared" si="0"/>
        <v>11267610</v>
      </c>
      <c r="I2" s="20">
        <f t="shared" si="0"/>
        <v>11688300</v>
      </c>
      <c r="J2" s="20" t="e">
        <f t="shared" si="0"/>
        <v>#VALUE!</v>
      </c>
      <c r="K2" s="20">
        <f t="shared" si="0"/>
        <v>11823876.16</v>
      </c>
      <c r="L2" s="20">
        <f t="shared" si="0"/>
        <v>10539501.52</v>
      </c>
      <c r="M2" s="20">
        <f t="shared" si="0"/>
        <v>5641125.2744162437</v>
      </c>
      <c r="N2" s="20">
        <f t="shared" si="0"/>
        <v>11443070.67</v>
      </c>
      <c r="O2" s="20">
        <f t="shared" si="0"/>
        <v>11704901.119999999</v>
      </c>
      <c r="P2" s="20">
        <f t="shared" si="0"/>
        <v>-245229.33000000007</v>
      </c>
      <c r="Q2" s="20">
        <f t="shared" si="0"/>
        <v>8667769.1499999985</v>
      </c>
      <c r="R2" s="20"/>
      <c r="S2" s="20">
        <f>S3+S48</f>
        <v>12238176.800787877</v>
      </c>
      <c r="T2" s="20">
        <f t="shared" ref="T2:T10" si="1">S2-I2</f>
        <v>549876.80078787729</v>
      </c>
      <c r="U2" s="21">
        <f t="shared" ref="U2:U10" si="2">S2-K2</f>
        <v>414300.64078787714</v>
      </c>
      <c r="V2" s="20">
        <f t="shared" ref="V2:V10" si="3">S2-O2</f>
        <v>533275.68078787811</v>
      </c>
      <c r="W2" s="22"/>
      <c r="X2" s="23">
        <f>X3+X48</f>
        <v>12484478.613878788</v>
      </c>
      <c r="Y2" s="24">
        <f t="shared" ref="Y2:Y53" si="4">X2-S2</f>
        <v>246301.81309091114</v>
      </c>
      <c r="Z2" s="25">
        <f t="shared" ref="Z2:AL2" si="5">Z3+Z48</f>
        <v>12534934</v>
      </c>
      <c r="AA2" s="25">
        <f t="shared" si="5"/>
        <v>277118</v>
      </c>
      <c r="AB2" s="25">
        <f t="shared" si="5"/>
        <v>-274010.80078787851</v>
      </c>
      <c r="AC2" s="25">
        <f t="shared" si="5"/>
        <v>920645.42999999993</v>
      </c>
      <c r="AD2" s="25">
        <f t="shared" si="5"/>
        <v>941583.03004974534</v>
      </c>
      <c r="AE2" s="25">
        <f t="shared" si="5"/>
        <v>20937.600049745408</v>
      </c>
      <c r="AF2" s="25">
        <f t="shared" si="5"/>
        <v>0</v>
      </c>
      <c r="AG2" s="25">
        <f t="shared" si="5"/>
        <v>0</v>
      </c>
      <c r="AH2" s="25">
        <f t="shared" si="5"/>
        <v>12676531.521886226</v>
      </c>
      <c r="AI2" s="25">
        <f t="shared" si="5"/>
        <v>12748538.388840973</v>
      </c>
      <c r="AJ2" s="25">
        <f t="shared" si="5"/>
        <v>141597.52188622751</v>
      </c>
      <c r="AK2" s="26">
        <f t="shared" si="5"/>
        <v>12941485.204739999</v>
      </c>
      <c r="AL2" s="25">
        <f t="shared" si="5"/>
        <v>12844994.712969696</v>
      </c>
      <c r="AM2" s="27">
        <f t="shared" ref="AM2:AM65" si="6">AL2-AI2</f>
        <v>96456.324128722772</v>
      </c>
      <c r="AN2" s="28">
        <f t="shared" ref="AN2:AN65" si="7">AL2-Z2</f>
        <v>310060.71296969615</v>
      </c>
      <c r="AO2" s="28">
        <f t="shared" ref="AO2:AO65" si="8">AI2-Z2</f>
        <v>213604.38884097338</v>
      </c>
      <c r="AP2" s="29">
        <f>SUM(AP3:AP85)</f>
        <v>141640.12020958078</v>
      </c>
      <c r="AQ2" s="30"/>
      <c r="AR2" s="30"/>
      <c r="AS2" s="30"/>
      <c r="AT2" s="26">
        <f t="shared" ref="AT2:BP2" si="9">AT3+AT48</f>
        <v>12754719.513636364</v>
      </c>
      <c r="AU2" s="25">
        <f t="shared" si="9"/>
        <v>12977097.75</v>
      </c>
      <c r="AV2" s="25">
        <f t="shared" si="9"/>
        <v>12783100</v>
      </c>
      <c r="AW2" s="25">
        <f t="shared" si="9"/>
        <v>248166</v>
      </c>
      <c r="AX2" s="25">
        <f t="shared" si="9"/>
        <v>219785.51363636373</v>
      </c>
      <c r="AY2" s="25">
        <f t="shared" si="9"/>
        <v>-90275.199333333236</v>
      </c>
      <c r="AZ2" s="25">
        <f t="shared" si="9"/>
        <v>0</v>
      </c>
      <c r="BA2" s="25">
        <f t="shared" si="9"/>
        <v>0</v>
      </c>
      <c r="BB2" s="25">
        <f t="shared" si="9"/>
        <v>0</v>
      </c>
      <c r="BC2" s="25">
        <f t="shared" si="9"/>
        <v>0</v>
      </c>
      <c r="BD2" s="25">
        <f t="shared" si="9"/>
        <v>0</v>
      </c>
      <c r="BE2" s="25">
        <f t="shared" si="9"/>
        <v>12865396.969999999</v>
      </c>
      <c r="BF2" s="25" t="e">
        <f t="shared" si="9"/>
        <v>#REF!</v>
      </c>
      <c r="BG2" s="25">
        <f t="shared" si="9"/>
        <v>82296.96999999971</v>
      </c>
      <c r="BH2" s="25">
        <f t="shared" si="9"/>
        <v>13554788.180291969</v>
      </c>
      <c r="BI2" s="25" t="e">
        <f t="shared" si="9"/>
        <v>#REF!</v>
      </c>
      <c r="BJ2" s="25" t="e">
        <f t="shared" si="9"/>
        <v>#REF!</v>
      </c>
      <c r="BK2" s="25">
        <f t="shared" si="9"/>
        <v>14993985.839999998</v>
      </c>
      <c r="BL2" s="25">
        <f t="shared" si="9"/>
        <v>1439197.6597080294</v>
      </c>
      <c r="BM2" s="25">
        <f t="shared" si="9"/>
        <v>2210885.8399999994</v>
      </c>
      <c r="BN2" s="25" t="e">
        <f t="shared" si="9"/>
        <v>#VALUE!</v>
      </c>
      <c r="BO2" s="25" t="e">
        <f t="shared" si="9"/>
        <v>#VALUE!</v>
      </c>
      <c r="BP2" s="25">
        <f t="shared" si="9"/>
        <v>15000017.620000001</v>
      </c>
      <c r="BQ2" s="31">
        <f t="shared" ref="BQ2:BQ65" si="10">BP2-BK2</f>
        <v>6031.7800000030547</v>
      </c>
      <c r="BR2" s="31">
        <f t="shared" ref="BR2:BR65" si="11">BP2-AV2</f>
        <v>2216917.620000001</v>
      </c>
      <c r="BS2" s="32"/>
      <c r="BT2" s="32"/>
      <c r="BU2" s="33"/>
      <c r="BV2" s="34">
        <f t="shared" ref="BV2:BV65" si="12">BH2-AV2</f>
        <v>771688.18029196933</v>
      </c>
      <c r="BY2" s="36"/>
      <c r="BZ2" s="36"/>
      <c r="CC2" s="37"/>
      <c r="CD2" s="25">
        <f>CD3+CD48</f>
        <v>12977097.75</v>
      </c>
    </row>
    <row r="3" spans="1:82" s="35" customFormat="1" ht="18" customHeight="1" x14ac:dyDescent="0.25">
      <c r="A3" s="38" t="s">
        <v>58</v>
      </c>
      <c r="B3" s="39"/>
      <c r="C3" s="40" t="s">
        <v>60</v>
      </c>
      <c r="D3" s="18"/>
      <c r="E3" s="19"/>
      <c r="F3" s="18"/>
      <c r="G3" s="20">
        <f t="shared" ref="G3:M3" si="13">G4+G13+G17+G24+G34+G39</f>
        <v>9410600</v>
      </c>
      <c r="H3" s="20">
        <f t="shared" si="13"/>
        <v>9305800</v>
      </c>
      <c r="I3" s="20">
        <f t="shared" si="13"/>
        <v>10259000</v>
      </c>
      <c r="J3" s="20" t="e">
        <f t="shared" si="13"/>
        <v>#VALUE!</v>
      </c>
      <c r="K3" s="20">
        <f t="shared" si="13"/>
        <v>9305051</v>
      </c>
      <c r="L3" s="20">
        <f t="shared" si="13"/>
        <v>5052017.99</v>
      </c>
      <c r="M3" s="20">
        <f t="shared" si="13"/>
        <v>5052017.99</v>
      </c>
      <c r="N3" s="20">
        <f>N4+N13+N17+N24+N34</f>
        <v>10111395.51</v>
      </c>
      <c r="O3" s="20">
        <f>O4+O13+O17+O24+O34+O39</f>
        <v>10291813.959999999</v>
      </c>
      <c r="P3" s="20">
        <f>P4+P13+P17+P24+P34+P39</f>
        <v>-147604.49000000005</v>
      </c>
      <c r="Q3" s="20">
        <f>Q4+Q13+Q17+Q24+Q34+Q39</f>
        <v>7703295.1999999983</v>
      </c>
      <c r="R3" s="20"/>
      <c r="S3" s="20">
        <f>S4+S13+S17+S24+S34+S39</f>
        <v>10507328.714121211</v>
      </c>
      <c r="T3" s="20">
        <f t="shared" si="1"/>
        <v>248328.71412121132</v>
      </c>
      <c r="U3" s="21">
        <f t="shared" si="2"/>
        <v>1202277.7141212113</v>
      </c>
      <c r="V3" s="20">
        <f t="shared" si="3"/>
        <v>215514.75412121229</v>
      </c>
      <c r="W3" s="22"/>
      <c r="X3" s="23">
        <f>X4+X13+X17+X24+X34+X39</f>
        <v>10538892.902363637</v>
      </c>
      <c r="Y3" s="24">
        <f t="shared" si="4"/>
        <v>31564.188242426142</v>
      </c>
      <c r="Z3" s="25">
        <f t="shared" ref="Z3:AL3" si="14">Z4+Z13+Z17+Z24+Z34+Z39</f>
        <v>10812828</v>
      </c>
      <c r="AA3" s="25">
        <f t="shared" si="14"/>
        <v>-11388</v>
      </c>
      <c r="AB3" s="25">
        <f t="shared" si="14"/>
        <v>-259716.71412121179</v>
      </c>
      <c r="AC3" s="25">
        <f t="shared" si="14"/>
        <v>0</v>
      </c>
      <c r="AD3" s="25">
        <f t="shared" si="14"/>
        <v>0</v>
      </c>
      <c r="AE3" s="25">
        <f t="shared" si="14"/>
        <v>0</v>
      </c>
      <c r="AF3" s="25">
        <f t="shared" si="14"/>
        <v>0</v>
      </c>
      <c r="AG3" s="25">
        <f t="shared" si="14"/>
        <v>0</v>
      </c>
      <c r="AH3" s="25">
        <f t="shared" si="14"/>
        <v>10954425.281886226</v>
      </c>
      <c r="AI3" s="25">
        <f t="shared" si="14"/>
        <v>10982240.181698116</v>
      </c>
      <c r="AJ3" s="25">
        <f t="shared" si="14"/>
        <v>141597.28188622752</v>
      </c>
      <c r="AK3" s="26">
        <f t="shared" si="14"/>
        <v>10994975.584999999</v>
      </c>
      <c r="AL3" s="25">
        <f t="shared" si="14"/>
        <v>10998703.96751515</v>
      </c>
      <c r="AM3" s="27">
        <f t="shared" si="6"/>
        <v>16463.785817034543</v>
      </c>
      <c r="AN3" s="28">
        <f t="shared" si="7"/>
        <v>185875.96751515009</v>
      </c>
      <c r="AO3" s="28">
        <f t="shared" si="8"/>
        <v>169412.18169811554</v>
      </c>
      <c r="AQ3" s="25"/>
      <c r="AR3" s="25"/>
      <c r="AS3" s="25"/>
      <c r="AT3" s="26">
        <f t="shared" ref="AT3:BP3" si="15">AT4+AT13+AT17+AT24+AT34+AT39</f>
        <v>11046455.23090909</v>
      </c>
      <c r="AU3" s="25">
        <f t="shared" si="15"/>
        <v>10993840.209999999</v>
      </c>
      <c r="AV3" s="25">
        <f t="shared" si="15"/>
        <v>11075300</v>
      </c>
      <c r="AW3" s="25">
        <f t="shared" si="15"/>
        <v>262472</v>
      </c>
      <c r="AX3" s="25">
        <f t="shared" si="15"/>
        <v>233627.23090909104</v>
      </c>
      <c r="AY3" s="25">
        <f t="shared" si="15"/>
        <v>47751.263393939676</v>
      </c>
      <c r="AZ3" s="25">
        <f t="shared" si="15"/>
        <v>0</v>
      </c>
      <c r="BA3" s="25">
        <f t="shared" si="15"/>
        <v>0</v>
      </c>
      <c r="BB3" s="25">
        <f t="shared" si="15"/>
        <v>0</v>
      </c>
      <c r="BC3" s="25">
        <f t="shared" si="15"/>
        <v>0</v>
      </c>
      <c r="BD3" s="25">
        <f t="shared" si="15"/>
        <v>0</v>
      </c>
      <c r="BE3" s="25">
        <f t="shared" si="15"/>
        <v>11157596.969999999</v>
      </c>
      <c r="BF3" s="25" t="e">
        <f t="shared" si="15"/>
        <v>#REF!</v>
      </c>
      <c r="BG3" s="25">
        <f t="shared" si="15"/>
        <v>82296.96999999971</v>
      </c>
      <c r="BH3" s="25">
        <f t="shared" si="15"/>
        <v>11146807.183625303</v>
      </c>
      <c r="BI3" s="25" t="e">
        <f t="shared" si="15"/>
        <v>#REF!</v>
      </c>
      <c r="BJ3" s="25" t="e">
        <f t="shared" si="15"/>
        <v>#REF!</v>
      </c>
      <c r="BK3" s="25">
        <f t="shared" si="15"/>
        <v>11137573.34272727</v>
      </c>
      <c r="BL3" s="25">
        <f t="shared" si="15"/>
        <v>-9233.8408980315489</v>
      </c>
      <c r="BM3" s="25">
        <f t="shared" si="15"/>
        <v>62273.342727272029</v>
      </c>
      <c r="BN3" s="25" t="e">
        <f t="shared" si="15"/>
        <v>#VALUE!</v>
      </c>
      <c r="BO3" s="25" t="e">
        <f t="shared" si="15"/>
        <v>#VALUE!</v>
      </c>
      <c r="BP3" s="25">
        <f t="shared" si="15"/>
        <v>11142100.140000001</v>
      </c>
      <c r="BQ3" s="31">
        <f t="shared" si="10"/>
        <v>4526.7972727306187</v>
      </c>
      <c r="BR3" s="31">
        <f t="shared" si="11"/>
        <v>66800.140000000596</v>
      </c>
      <c r="BS3" s="32"/>
      <c r="BT3" s="32"/>
      <c r="BU3" s="33"/>
      <c r="BV3" s="34">
        <f t="shared" si="12"/>
        <v>71507.183625303209</v>
      </c>
      <c r="BY3" s="36"/>
      <c r="BZ3" s="36"/>
      <c r="CC3" s="37"/>
      <c r="CD3" s="25">
        <f>CD4+CD13+CD17+CD24+CD34+CD39</f>
        <v>10993840.209999999</v>
      </c>
    </row>
    <row r="4" spans="1:82" s="35" customFormat="1" ht="18" customHeight="1" x14ac:dyDescent="0.25">
      <c r="A4" s="41" t="s">
        <v>58</v>
      </c>
      <c r="B4" s="42"/>
      <c r="C4" s="43"/>
      <c r="D4" s="43" t="s">
        <v>61</v>
      </c>
      <c r="E4" s="44"/>
      <c r="F4" s="45"/>
      <c r="G4" s="46">
        <f t="shared" ref="G4:Q4" si="16">G5+G8</f>
        <v>9113300</v>
      </c>
      <c r="H4" s="46">
        <f t="shared" si="16"/>
        <v>9036800</v>
      </c>
      <c r="I4" s="46">
        <f t="shared" si="16"/>
        <v>9953400</v>
      </c>
      <c r="J4" s="46">
        <f t="shared" si="16"/>
        <v>0</v>
      </c>
      <c r="K4" s="46">
        <f t="shared" si="16"/>
        <v>9034147.9600000009</v>
      </c>
      <c r="L4" s="46">
        <f t="shared" si="16"/>
        <v>4906109.05</v>
      </c>
      <c r="M4" s="46">
        <f t="shared" si="16"/>
        <v>4906109.05</v>
      </c>
      <c r="N4" s="46">
        <f t="shared" si="16"/>
        <v>9812218.0999999996</v>
      </c>
      <c r="O4" s="46">
        <f t="shared" si="16"/>
        <v>9983344.9499999993</v>
      </c>
      <c r="P4" s="46">
        <f t="shared" si="16"/>
        <v>-141181.90000000005</v>
      </c>
      <c r="Q4" s="46">
        <f t="shared" si="16"/>
        <v>7474105.0199999996</v>
      </c>
      <c r="R4" s="46"/>
      <c r="S4" s="46">
        <f>S5+S8</f>
        <v>10196013.859999999</v>
      </c>
      <c r="T4" s="46">
        <f t="shared" si="1"/>
        <v>242613.8599999994</v>
      </c>
      <c r="U4" s="21">
        <f t="shared" si="2"/>
        <v>1161865.8999999985</v>
      </c>
      <c r="V4" s="46">
        <f t="shared" si="3"/>
        <v>212668.91000000015</v>
      </c>
      <c r="W4" s="47"/>
      <c r="X4" s="23">
        <f>X5+X8</f>
        <v>10225839.882666666</v>
      </c>
      <c r="Y4" s="24">
        <f t="shared" si="4"/>
        <v>29826.022666666657</v>
      </c>
      <c r="Z4" s="48">
        <f t="shared" ref="Z4:AL4" si="17">Z5+Z8</f>
        <v>10463668</v>
      </c>
      <c r="AA4" s="48">
        <f t="shared" si="17"/>
        <v>-54948</v>
      </c>
      <c r="AB4" s="48">
        <f t="shared" si="17"/>
        <v>-297561.85999999964</v>
      </c>
      <c r="AC4" s="48">
        <f t="shared" si="17"/>
        <v>0</v>
      </c>
      <c r="AD4" s="48">
        <f t="shared" si="17"/>
        <v>0</v>
      </c>
      <c r="AE4" s="48">
        <f t="shared" si="17"/>
        <v>0</v>
      </c>
      <c r="AF4" s="48">
        <f t="shared" si="17"/>
        <v>0</v>
      </c>
      <c r="AG4" s="48">
        <f t="shared" si="17"/>
        <v>0</v>
      </c>
      <c r="AH4" s="48">
        <f t="shared" si="17"/>
        <v>10588102.237425148</v>
      </c>
      <c r="AI4" s="48">
        <f t="shared" si="17"/>
        <v>10619164.373194072</v>
      </c>
      <c r="AJ4" s="48">
        <f t="shared" si="17"/>
        <v>124434.23742514965</v>
      </c>
      <c r="AK4" s="49">
        <f t="shared" si="17"/>
        <v>10627603.723333333</v>
      </c>
      <c r="AL4" s="48">
        <f t="shared" si="17"/>
        <v>10628037.918121211</v>
      </c>
      <c r="AM4" s="27">
        <f t="shared" si="6"/>
        <v>8873.5449271388352</v>
      </c>
      <c r="AN4" s="28">
        <f t="shared" si="7"/>
        <v>164369.91812121123</v>
      </c>
      <c r="AO4" s="50">
        <f t="shared" si="8"/>
        <v>155496.3731940724</v>
      </c>
      <c r="AQ4" s="48"/>
      <c r="AR4" s="48"/>
      <c r="AS4" s="48"/>
      <c r="AT4" s="49">
        <f t="shared" ref="AT4:BP4" si="18">AT5+AT8</f>
        <v>10670236.405454546</v>
      </c>
      <c r="AU4" s="48">
        <f t="shared" si="18"/>
        <v>10622988.59</v>
      </c>
      <c r="AV4" s="48">
        <f t="shared" si="18"/>
        <v>10699400</v>
      </c>
      <c r="AW4" s="48">
        <f t="shared" si="18"/>
        <v>235732</v>
      </c>
      <c r="AX4" s="48">
        <f t="shared" si="18"/>
        <v>206568.40545454557</v>
      </c>
      <c r="AY4" s="48">
        <f t="shared" si="18"/>
        <v>42198.487333333607</v>
      </c>
      <c r="AZ4" s="48">
        <f t="shared" si="18"/>
        <v>0</v>
      </c>
      <c r="BA4" s="48">
        <f t="shared" si="18"/>
        <v>0</v>
      </c>
      <c r="BB4" s="48">
        <f t="shared" si="18"/>
        <v>0</v>
      </c>
      <c r="BC4" s="48">
        <f t="shared" si="18"/>
        <v>0</v>
      </c>
      <c r="BD4" s="48">
        <f t="shared" si="18"/>
        <v>0</v>
      </c>
      <c r="BE4" s="48">
        <f t="shared" si="18"/>
        <v>10760015.299999999</v>
      </c>
      <c r="BF4" s="48" t="e">
        <f t="shared" si="18"/>
        <v>#REF!</v>
      </c>
      <c r="BG4" s="48">
        <f t="shared" si="18"/>
        <v>60615.299999999675</v>
      </c>
      <c r="BH4" s="48">
        <f t="shared" si="18"/>
        <v>10755765.549951337</v>
      </c>
      <c r="BI4" s="48" t="e">
        <f t="shared" si="18"/>
        <v>#REF!</v>
      </c>
      <c r="BJ4" s="48" t="e">
        <f t="shared" si="18"/>
        <v>#REF!</v>
      </c>
      <c r="BK4" s="48">
        <f t="shared" si="18"/>
        <v>10743042.030909089</v>
      </c>
      <c r="BL4" s="48">
        <f t="shared" si="18"/>
        <v>-12723.519042247452</v>
      </c>
      <c r="BM4" s="48">
        <f t="shared" si="18"/>
        <v>43642.030909090201</v>
      </c>
      <c r="BN4" s="48">
        <f t="shared" si="18"/>
        <v>0</v>
      </c>
      <c r="BO4" s="48">
        <f t="shared" si="18"/>
        <v>0</v>
      </c>
      <c r="BP4" s="48">
        <f t="shared" si="18"/>
        <v>10745549.25</v>
      </c>
      <c r="BQ4" s="31">
        <f t="shared" si="10"/>
        <v>2507.2190909106284</v>
      </c>
      <c r="BR4" s="31">
        <f t="shared" si="11"/>
        <v>46149.25</v>
      </c>
      <c r="BS4" s="32"/>
      <c r="BT4" s="32"/>
      <c r="BU4" s="33"/>
      <c r="BV4" s="34">
        <f t="shared" si="12"/>
        <v>56365.549951337278</v>
      </c>
      <c r="BY4" s="36"/>
      <c r="BZ4" s="36"/>
      <c r="CC4" s="37"/>
      <c r="CD4" s="48">
        <f>CD5+CD8</f>
        <v>10622988.59</v>
      </c>
    </row>
    <row r="5" spans="1:82" s="63" customFormat="1" ht="18" customHeight="1" x14ac:dyDescent="0.25">
      <c r="A5" s="51" t="s">
        <v>58</v>
      </c>
      <c r="B5" s="52"/>
      <c r="C5" s="53"/>
      <c r="D5" s="44"/>
      <c r="E5" s="53" t="s">
        <v>62</v>
      </c>
      <c r="F5" s="54"/>
      <c r="G5" s="55">
        <f t="shared" ref="G5:Q5" si="19">SUM(G6:G7)</f>
        <v>5925800</v>
      </c>
      <c r="H5" s="55">
        <f t="shared" si="19"/>
        <v>5946000</v>
      </c>
      <c r="I5" s="55">
        <f t="shared" si="19"/>
        <v>5910800</v>
      </c>
      <c r="J5" s="55">
        <f t="shared" si="19"/>
        <v>0</v>
      </c>
      <c r="K5" s="55">
        <f t="shared" si="19"/>
        <v>5946908.1699999999</v>
      </c>
      <c r="L5" s="55">
        <f t="shared" si="19"/>
        <v>2944254.71</v>
      </c>
      <c r="M5" s="55">
        <f t="shared" si="19"/>
        <v>2944254.71</v>
      </c>
      <c r="N5" s="55">
        <f t="shared" si="19"/>
        <v>5888509.4199999999</v>
      </c>
      <c r="O5" s="55">
        <f t="shared" si="19"/>
        <v>5956122.1899999995</v>
      </c>
      <c r="P5" s="55">
        <f t="shared" si="19"/>
        <v>-22290.580000000264</v>
      </c>
      <c r="Q5" s="55">
        <f t="shared" si="19"/>
        <v>4452133.8899999997</v>
      </c>
      <c r="R5" s="55"/>
      <c r="S5" s="55">
        <f>SUM(S6:S7)</f>
        <v>6108061.7299999995</v>
      </c>
      <c r="T5" s="55">
        <f t="shared" si="1"/>
        <v>197261.72999999952</v>
      </c>
      <c r="U5" s="56">
        <f t="shared" si="2"/>
        <v>161153.55999999959</v>
      </c>
      <c r="V5" s="55">
        <f t="shared" si="3"/>
        <v>151939.54000000004</v>
      </c>
      <c r="W5" s="57"/>
      <c r="X5" s="58">
        <f>SUM(X6:X7)</f>
        <v>6121881.6799999997</v>
      </c>
      <c r="Y5" s="59">
        <f t="shared" si="4"/>
        <v>13819.950000000186</v>
      </c>
      <c r="Z5" s="33">
        <f t="shared" ref="Z5:AL5" si="20">SUM(Z6:Z7)</f>
        <v>6168500</v>
      </c>
      <c r="AA5" s="33">
        <f t="shared" si="20"/>
        <v>257700</v>
      </c>
      <c r="AB5" s="33">
        <f t="shared" si="20"/>
        <v>60438.27000000031</v>
      </c>
      <c r="AC5" s="33">
        <f t="shared" si="20"/>
        <v>0</v>
      </c>
      <c r="AD5" s="33">
        <f t="shared" si="20"/>
        <v>0</v>
      </c>
      <c r="AE5" s="33">
        <f t="shared" si="20"/>
        <v>0</v>
      </c>
      <c r="AF5" s="33">
        <f t="shared" si="20"/>
        <v>0</v>
      </c>
      <c r="AG5" s="33">
        <f t="shared" si="20"/>
        <v>0</v>
      </c>
      <c r="AH5" s="33">
        <f t="shared" si="20"/>
        <v>6120806.1272455091</v>
      </c>
      <c r="AI5" s="33">
        <f t="shared" si="20"/>
        <v>6162138.2566037746</v>
      </c>
      <c r="AJ5" s="33">
        <f t="shared" si="20"/>
        <v>-47693.872754491022</v>
      </c>
      <c r="AK5" s="60">
        <f t="shared" si="20"/>
        <v>6158741.1500000004</v>
      </c>
      <c r="AL5" s="33">
        <f t="shared" si="20"/>
        <v>6158646.4213333335</v>
      </c>
      <c r="AM5" s="27">
        <f t="shared" si="6"/>
        <v>-3491.8352704411373</v>
      </c>
      <c r="AN5" s="61">
        <f t="shared" si="7"/>
        <v>-9853.5786666665226</v>
      </c>
      <c r="AO5" s="62">
        <f t="shared" si="8"/>
        <v>-6361.7433962253854</v>
      </c>
      <c r="AQ5" s="33"/>
      <c r="AR5" s="33"/>
      <c r="AS5" s="33"/>
      <c r="AT5" s="60">
        <f t="shared" ref="AT5:BP5" si="21">SUM(AT6:AT7)</f>
        <v>6149300</v>
      </c>
      <c r="AU5" s="33">
        <f t="shared" si="21"/>
        <v>6151355.5700000003</v>
      </c>
      <c r="AV5" s="33">
        <f t="shared" si="21"/>
        <v>6166200</v>
      </c>
      <c r="AW5" s="33">
        <f t="shared" si="21"/>
        <v>-2300</v>
      </c>
      <c r="AX5" s="33">
        <f t="shared" si="21"/>
        <v>-19200</v>
      </c>
      <c r="AY5" s="33">
        <f t="shared" si="21"/>
        <v>-9346.4213333332882</v>
      </c>
      <c r="AZ5" s="33">
        <f t="shared" si="21"/>
        <v>0</v>
      </c>
      <c r="BA5" s="33">
        <f t="shared" si="21"/>
        <v>0</v>
      </c>
      <c r="BB5" s="33">
        <f t="shared" si="21"/>
        <v>0</v>
      </c>
      <c r="BC5" s="33">
        <f t="shared" si="21"/>
        <v>0</v>
      </c>
      <c r="BD5" s="33">
        <f t="shared" si="21"/>
        <v>0</v>
      </c>
      <c r="BE5" s="33">
        <f t="shared" si="21"/>
        <v>6173694.0699999994</v>
      </c>
      <c r="BF5" s="33" t="e">
        <f t="shared" si="21"/>
        <v>#REF!</v>
      </c>
      <c r="BG5" s="33">
        <f t="shared" si="21"/>
        <v>7494.0699999997378</v>
      </c>
      <c r="BH5" s="33">
        <f t="shared" si="21"/>
        <v>6163850.0135036483</v>
      </c>
      <c r="BI5" s="33" t="e">
        <f t="shared" si="21"/>
        <v>#REF!</v>
      </c>
      <c r="BJ5" s="33" t="e">
        <f t="shared" si="21"/>
        <v>#REF!</v>
      </c>
      <c r="BK5" s="33">
        <f t="shared" si="21"/>
        <v>6154921.209999999</v>
      </c>
      <c r="BL5" s="33">
        <f t="shared" si="21"/>
        <v>-8928.8035036493093</v>
      </c>
      <c r="BM5" s="33">
        <f t="shared" si="21"/>
        <v>-11278.790000000598</v>
      </c>
      <c r="BN5" s="33">
        <f t="shared" si="21"/>
        <v>0</v>
      </c>
      <c r="BO5" s="33">
        <f t="shared" si="21"/>
        <v>0</v>
      </c>
      <c r="BP5" s="33">
        <f t="shared" si="21"/>
        <v>6155062.5099999998</v>
      </c>
      <c r="BQ5" s="31">
        <f t="shared" si="10"/>
        <v>141.30000000074506</v>
      </c>
      <c r="BR5" s="31">
        <f t="shared" si="11"/>
        <v>-11137.490000000224</v>
      </c>
      <c r="BS5" s="32"/>
      <c r="BT5" s="32"/>
      <c r="BU5" s="33"/>
      <c r="BV5" s="34">
        <f t="shared" si="12"/>
        <v>-2349.9864963516593</v>
      </c>
      <c r="BY5" s="64"/>
      <c r="BZ5" s="64"/>
      <c r="CC5" s="37"/>
      <c r="CD5" s="33">
        <f>SUM(CD6:CD7)</f>
        <v>6151355.5700000003</v>
      </c>
    </row>
    <row r="6" spans="1:82" s="77" customFormat="1" ht="18" customHeight="1" x14ac:dyDescent="0.25">
      <c r="A6" s="65" t="s">
        <v>58</v>
      </c>
      <c r="B6" s="66"/>
      <c r="C6" s="67"/>
      <c r="D6" s="43"/>
      <c r="E6" s="53"/>
      <c r="F6" s="68" t="s">
        <v>63</v>
      </c>
      <c r="G6" s="69">
        <v>5883700</v>
      </c>
      <c r="H6" s="69">
        <v>5895000</v>
      </c>
      <c r="I6" s="69">
        <v>5845500</v>
      </c>
      <c r="J6" s="70" t="s">
        <v>64</v>
      </c>
      <c r="K6" s="69">
        <v>5895905.3399999999</v>
      </c>
      <c r="L6" s="69">
        <v>2900208.36</v>
      </c>
      <c r="M6" s="69">
        <f>L6</f>
        <v>2900208.36</v>
      </c>
      <c r="N6" s="69">
        <f>M6*2</f>
        <v>5800416.7199999997</v>
      </c>
      <c r="O6" s="69">
        <f>[1]rette!L42</f>
        <v>5867299.4399999995</v>
      </c>
      <c r="P6" s="69">
        <f>N6-I6</f>
        <v>-45083.280000000261</v>
      </c>
      <c r="Q6" s="69">
        <v>4389171.84</v>
      </c>
      <c r="R6" s="69"/>
      <c r="S6" s="69">
        <v>6021572.6799999997</v>
      </c>
      <c r="T6" s="69">
        <f t="shared" si="1"/>
        <v>176072.6799999997</v>
      </c>
      <c r="U6" s="69">
        <f t="shared" si="2"/>
        <v>125667.33999999985</v>
      </c>
      <c r="V6" s="69">
        <f t="shared" si="3"/>
        <v>154273.24000000022</v>
      </c>
      <c r="W6" s="69"/>
      <c r="X6" s="69">
        <f>5518040.54+511782.14+2097.45</f>
        <v>6031920.1299999999</v>
      </c>
      <c r="Y6" s="47">
        <f t="shared" si="4"/>
        <v>10347.450000000186</v>
      </c>
      <c r="Z6" s="71">
        <v>6077100</v>
      </c>
      <c r="AA6" s="29">
        <f>Z6-I6</f>
        <v>231600</v>
      </c>
      <c r="AB6" s="29">
        <f>Z6-S6</f>
        <v>55527.320000000298</v>
      </c>
      <c r="AC6" s="72" t="s">
        <v>65</v>
      </c>
      <c r="AD6" s="72"/>
      <c r="AE6" s="72"/>
      <c r="AF6" s="72"/>
      <c r="AG6" s="72"/>
      <c r="AH6" s="71">
        <v>6077100</v>
      </c>
      <c r="AI6" s="71">
        <f>3553671.56/212*365</f>
        <v>6118349.6198113216</v>
      </c>
      <c r="AJ6" s="71">
        <f>AH6-Z6</f>
        <v>0</v>
      </c>
      <c r="AK6" s="73">
        <v>6115002.9900000002</v>
      </c>
      <c r="AL6" s="71">
        <f>5595794.5+((1066.5+501344.44)/30*31)</f>
        <v>6114952.4713333333</v>
      </c>
      <c r="AM6" s="74">
        <f t="shared" si="6"/>
        <v>-3397.1484779883176</v>
      </c>
      <c r="AN6" s="33">
        <f t="shared" si="7"/>
        <v>37852.471333333291</v>
      </c>
      <c r="AO6" s="75">
        <f t="shared" si="8"/>
        <v>41249.619811321609</v>
      </c>
      <c r="AP6" s="72">
        <f>AJ6</f>
        <v>0</v>
      </c>
      <c r="AQ6" s="71" t="s">
        <v>66</v>
      </c>
      <c r="AR6" s="71" t="s">
        <v>67</v>
      </c>
      <c r="AS6" s="71" t="s">
        <v>66</v>
      </c>
      <c r="AT6" s="73">
        <f>'[2]Tariffa sanitaria PAT'!$E$17</f>
        <v>6101500</v>
      </c>
      <c r="AU6" s="71">
        <v>6107661.6200000001</v>
      </c>
      <c r="AV6" s="71">
        <v>6118200</v>
      </c>
      <c r="AW6" s="71">
        <f>AV6-Z6</f>
        <v>41100</v>
      </c>
      <c r="AX6" s="76">
        <f>AT6-Z6</f>
        <v>24400</v>
      </c>
      <c r="AY6" s="76">
        <f>AT6-AL6</f>
        <v>-13452.471333333291</v>
      </c>
      <c r="BE6" s="71">
        <v>6130011.9699999997</v>
      </c>
      <c r="BF6" s="71" t="e">
        <f>(3563205.07/#REF!*366)-7000</f>
        <v>#REF!</v>
      </c>
      <c r="BG6" s="78">
        <f>BE6-AV6</f>
        <v>11811.969999999739</v>
      </c>
      <c r="BH6" s="71">
        <v>6120167.9135036487</v>
      </c>
      <c r="BI6" s="78" t="e">
        <f>BF6-AV6</f>
        <v>#REF!</v>
      </c>
      <c r="BJ6" s="78" t="e">
        <f>BF6-AU6</f>
        <v>#REF!</v>
      </c>
      <c r="BK6" s="71">
        <f>5600107.22+518131.89-7000</f>
        <v>6111239.1099999994</v>
      </c>
      <c r="BL6" s="79">
        <f>BK6-BH6</f>
        <v>-8928.8035036493093</v>
      </c>
      <c r="BM6" s="79">
        <f>BK6-AV6</f>
        <v>-6960.890000000596</v>
      </c>
      <c r="BN6" s="80" t="s">
        <v>68</v>
      </c>
      <c r="BO6" s="80" t="s">
        <v>69</v>
      </c>
      <c r="BP6" s="71">
        <v>6111380.4100000001</v>
      </c>
      <c r="BQ6" s="32">
        <f t="shared" si="10"/>
        <v>141.30000000074506</v>
      </c>
      <c r="BR6" s="32">
        <f t="shared" si="11"/>
        <v>-6819.589999999851</v>
      </c>
      <c r="BS6" s="81" t="s">
        <v>70</v>
      </c>
      <c r="BT6" s="80" t="s">
        <v>71</v>
      </c>
      <c r="BU6" s="33" t="s">
        <v>72</v>
      </c>
      <c r="BV6" s="34">
        <f t="shared" si="12"/>
        <v>1967.9135036487132</v>
      </c>
      <c r="BW6" s="77" t="s">
        <v>73</v>
      </c>
      <c r="BY6" s="82"/>
      <c r="BZ6" s="82"/>
      <c r="CC6" s="37"/>
      <c r="CD6" s="71">
        <v>6107661.6200000001</v>
      </c>
    </row>
    <row r="7" spans="1:82" s="77" customFormat="1" ht="18" customHeight="1" x14ac:dyDescent="0.25">
      <c r="A7" s="65" t="s">
        <v>58</v>
      </c>
      <c r="B7" s="66"/>
      <c r="C7" s="67"/>
      <c r="D7" s="43"/>
      <c r="E7" s="53"/>
      <c r="F7" s="68" t="s">
        <v>74</v>
      </c>
      <c r="G7" s="83">
        <v>42100</v>
      </c>
      <c r="H7" s="83">
        <v>51000</v>
      </c>
      <c r="I7" s="83">
        <v>65300</v>
      </c>
      <c r="J7" s="70" t="s">
        <v>75</v>
      </c>
      <c r="K7" s="83">
        <v>51002.83</v>
      </c>
      <c r="L7" s="83">
        <v>44046.35</v>
      </c>
      <c r="M7" s="83">
        <f>L7</f>
        <v>44046.35</v>
      </c>
      <c r="N7" s="83">
        <f>M7*2</f>
        <v>88092.7</v>
      </c>
      <c r="O7" s="83">
        <f>[1]rette!L51</f>
        <v>88822.75</v>
      </c>
      <c r="P7" s="83">
        <f>N7-I7</f>
        <v>22792.699999999997</v>
      </c>
      <c r="Q7" s="83">
        <v>62962.05</v>
      </c>
      <c r="R7" s="83"/>
      <c r="S7" s="83">
        <v>86489.049999999988</v>
      </c>
      <c r="T7" s="83">
        <f t="shared" si="1"/>
        <v>21189.049999999988</v>
      </c>
      <c r="U7" s="83">
        <f t="shared" si="2"/>
        <v>35486.219999999987</v>
      </c>
      <c r="V7" s="83">
        <f t="shared" si="3"/>
        <v>-2333.7000000000116</v>
      </c>
      <c r="W7" s="84"/>
      <c r="X7" s="83">
        <f>82320.98+3684.97+3955.6</f>
        <v>89961.55</v>
      </c>
      <c r="Y7" s="47">
        <f t="shared" si="4"/>
        <v>3472.5000000000146</v>
      </c>
      <c r="Z7" s="85">
        <v>91400</v>
      </c>
      <c r="AA7" s="29">
        <f>Z7-I7</f>
        <v>26100</v>
      </c>
      <c r="AB7" s="29">
        <f>Z7-S7</f>
        <v>4910.9500000000116</v>
      </c>
      <c r="AC7" s="72"/>
      <c r="AD7" s="72"/>
      <c r="AE7" s="72"/>
      <c r="AF7" s="72"/>
      <c r="AG7" s="72"/>
      <c r="AH7" s="85">
        <f>'[3]Retta sanitaria fuori PAT'!$C$14</f>
        <v>43706.127245508978</v>
      </c>
      <c r="AI7" s="85">
        <f>25433.4/212*365</f>
        <v>43788.636792452831</v>
      </c>
      <c r="AJ7" s="85">
        <f>AH7-Z7</f>
        <v>-47693.872754491022</v>
      </c>
      <c r="AK7" s="86">
        <v>43738.16</v>
      </c>
      <c r="AL7" s="85">
        <f>39994.1+(3580.5/30*31)</f>
        <v>43693.95</v>
      </c>
      <c r="AM7" s="74">
        <f t="shared" si="6"/>
        <v>-94.686792452834197</v>
      </c>
      <c r="AN7" s="33">
        <f t="shared" si="7"/>
        <v>-47706.05</v>
      </c>
      <c r="AO7" s="75">
        <f t="shared" si="8"/>
        <v>-47611.363207547169</v>
      </c>
      <c r="AP7" s="72">
        <f>AJ7</f>
        <v>-47693.872754491022</v>
      </c>
      <c r="AQ7" s="85" t="s">
        <v>76</v>
      </c>
      <c r="AR7" s="85" t="s">
        <v>77</v>
      </c>
      <c r="AS7" s="85" t="s">
        <v>76</v>
      </c>
      <c r="AT7" s="86">
        <f>'[2]Tariffa sanitaria fuori PAT'!$C$15</f>
        <v>47800</v>
      </c>
      <c r="AU7" s="71">
        <v>43693.95</v>
      </c>
      <c r="AV7" s="71">
        <v>48000</v>
      </c>
      <c r="AW7" s="71">
        <f>AV7-Z7</f>
        <v>-43400</v>
      </c>
      <c r="AX7" s="76">
        <f>AT7-Z7</f>
        <v>-43600</v>
      </c>
      <c r="AY7" s="76">
        <f>AT7-AL7</f>
        <v>4106.0500000000029</v>
      </c>
      <c r="BE7" s="71">
        <v>43682.1</v>
      </c>
      <c r="BF7" s="71" t="e">
        <f>25421.55/#REF!*366</f>
        <v>#REF!</v>
      </c>
      <c r="BG7" s="78">
        <f>BE7-AV7</f>
        <v>-4317.9000000000015</v>
      </c>
      <c r="BH7" s="71">
        <v>43682.100000000006</v>
      </c>
      <c r="BI7" s="78" t="e">
        <f>BF7-AV7</f>
        <v>#REF!</v>
      </c>
      <c r="BJ7" s="78" t="e">
        <f>BF7-AU7</f>
        <v>#REF!</v>
      </c>
      <c r="BK7" s="71">
        <f>36401.75+((30+31)*(78.87+40.48))</f>
        <v>43682.1</v>
      </c>
      <c r="BL7" s="79">
        <f>BK7-BH7</f>
        <v>0</v>
      </c>
      <c r="BM7" s="79">
        <f>BK7-AV7</f>
        <v>-4317.9000000000015</v>
      </c>
      <c r="BN7" s="87" t="s">
        <v>78</v>
      </c>
      <c r="BO7" s="87" t="s">
        <v>78</v>
      </c>
      <c r="BP7" s="71">
        <v>43682.1</v>
      </c>
      <c r="BQ7" s="32">
        <f t="shared" si="10"/>
        <v>0</v>
      </c>
      <c r="BR7" s="32">
        <f t="shared" si="11"/>
        <v>-4317.9000000000015</v>
      </c>
      <c r="BS7" s="87" t="s">
        <v>78</v>
      </c>
      <c r="BT7" s="87" t="s">
        <v>78</v>
      </c>
      <c r="BU7" s="33" t="s">
        <v>79</v>
      </c>
      <c r="BV7" s="34">
        <f t="shared" si="12"/>
        <v>-4317.8999999999942</v>
      </c>
      <c r="BY7" s="82"/>
      <c r="BZ7" s="82"/>
      <c r="CC7" s="37"/>
      <c r="CD7" s="71">
        <v>43693.95</v>
      </c>
    </row>
    <row r="8" spans="1:82" s="63" customFormat="1" ht="18" customHeight="1" x14ac:dyDescent="0.25">
      <c r="A8" s="51" t="s">
        <v>58</v>
      </c>
      <c r="B8" s="52"/>
      <c r="C8" s="53"/>
      <c r="D8" s="44"/>
      <c r="E8" s="53" t="s">
        <v>80</v>
      </c>
      <c r="F8" s="54"/>
      <c r="G8" s="55">
        <f t="shared" ref="G8:Q8" si="22">SUM(G9:G12)</f>
        <v>3187500</v>
      </c>
      <c r="H8" s="55">
        <f t="shared" si="22"/>
        <v>3090800</v>
      </c>
      <c r="I8" s="55">
        <f t="shared" si="22"/>
        <v>4042600</v>
      </c>
      <c r="J8" s="55">
        <f t="shared" si="22"/>
        <v>0</v>
      </c>
      <c r="K8" s="55">
        <f t="shared" si="22"/>
        <v>3087239.7900000005</v>
      </c>
      <c r="L8" s="55">
        <f t="shared" si="22"/>
        <v>1961854.34</v>
      </c>
      <c r="M8" s="55">
        <f t="shared" si="22"/>
        <v>1961854.34</v>
      </c>
      <c r="N8" s="55">
        <f t="shared" si="22"/>
        <v>3923708.68</v>
      </c>
      <c r="O8" s="55">
        <f t="shared" si="22"/>
        <v>4027222.7599999993</v>
      </c>
      <c r="P8" s="55">
        <f t="shared" si="22"/>
        <v>-118891.31999999979</v>
      </c>
      <c r="Q8" s="55">
        <f t="shared" si="22"/>
        <v>3021971.13</v>
      </c>
      <c r="R8" s="55"/>
      <c r="S8" s="55">
        <f>SUM(S9:S12)</f>
        <v>4087952.13</v>
      </c>
      <c r="T8" s="55">
        <f t="shared" si="1"/>
        <v>45352.129999999888</v>
      </c>
      <c r="U8" s="55">
        <f t="shared" si="2"/>
        <v>1000712.3399999994</v>
      </c>
      <c r="V8" s="55">
        <f t="shared" si="3"/>
        <v>60729.370000000577</v>
      </c>
      <c r="W8" s="57"/>
      <c r="X8" s="55">
        <f>SUM(X9:X12)</f>
        <v>4103958.2026666668</v>
      </c>
      <c r="Y8" s="88">
        <f t="shared" si="4"/>
        <v>16006.072666666936</v>
      </c>
      <c r="Z8" s="33">
        <f t="shared" ref="Z8:AL8" si="23">SUM(Z9:Z12)</f>
        <v>4295168</v>
      </c>
      <c r="AA8" s="33">
        <f t="shared" si="23"/>
        <v>-312648</v>
      </c>
      <c r="AB8" s="33">
        <f t="shared" si="23"/>
        <v>-358000.12999999995</v>
      </c>
      <c r="AC8" s="33">
        <f t="shared" si="23"/>
        <v>0</v>
      </c>
      <c r="AD8" s="33">
        <f t="shared" si="23"/>
        <v>0</v>
      </c>
      <c r="AE8" s="33">
        <f t="shared" si="23"/>
        <v>0</v>
      </c>
      <c r="AF8" s="33">
        <f t="shared" si="23"/>
        <v>0</v>
      </c>
      <c r="AG8" s="33">
        <f t="shared" si="23"/>
        <v>0</v>
      </c>
      <c r="AH8" s="33">
        <f t="shared" si="23"/>
        <v>4467296.1101796404</v>
      </c>
      <c r="AI8" s="33">
        <f t="shared" si="23"/>
        <v>4457026.1165902978</v>
      </c>
      <c r="AJ8" s="33">
        <f t="shared" si="23"/>
        <v>172128.11017964067</v>
      </c>
      <c r="AK8" s="60">
        <f t="shared" si="23"/>
        <v>4468862.5733333332</v>
      </c>
      <c r="AL8" s="33">
        <f t="shared" si="23"/>
        <v>4469391.4967878787</v>
      </c>
      <c r="AM8" s="74">
        <f t="shared" si="6"/>
        <v>12365.380197580904</v>
      </c>
      <c r="AN8" s="33">
        <f t="shared" si="7"/>
        <v>174223.49678787868</v>
      </c>
      <c r="AO8" s="75">
        <f t="shared" si="8"/>
        <v>161858.11659029778</v>
      </c>
      <c r="AQ8" s="33"/>
      <c r="AR8" s="33"/>
      <c r="AS8" s="33"/>
      <c r="AT8" s="60">
        <f t="shared" ref="AT8:BP8" si="24">SUM(AT9:AT12)</f>
        <v>4520936.4054545453</v>
      </c>
      <c r="AU8" s="33">
        <f t="shared" si="24"/>
        <v>4471633.0199999996</v>
      </c>
      <c r="AV8" s="33">
        <f t="shared" si="24"/>
        <v>4533200</v>
      </c>
      <c r="AW8" s="33">
        <f t="shared" si="24"/>
        <v>238032</v>
      </c>
      <c r="AX8" s="33">
        <f t="shared" si="24"/>
        <v>225768.40545454557</v>
      </c>
      <c r="AY8" s="33">
        <f t="shared" si="24"/>
        <v>51544.908666666895</v>
      </c>
      <c r="AZ8" s="33">
        <f t="shared" si="24"/>
        <v>0</v>
      </c>
      <c r="BA8" s="33">
        <f t="shared" si="24"/>
        <v>0</v>
      </c>
      <c r="BB8" s="33">
        <f t="shared" si="24"/>
        <v>0</v>
      </c>
      <c r="BC8" s="33">
        <f t="shared" si="24"/>
        <v>0</v>
      </c>
      <c r="BD8" s="33">
        <f t="shared" si="24"/>
        <v>0</v>
      </c>
      <c r="BE8" s="33">
        <f t="shared" si="24"/>
        <v>4586321.2299999995</v>
      </c>
      <c r="BF8" s="33" t="e">
        <f t="shared" si="24"/>
        <v>#REF!</v>
      </c>
      <c r="BG8" s="33">
        <f t="shared" si="24"/>
        <v>53121.229999999938</v>
      </c>
      <c r="BH8" s="33">
        <f t="shared" si="24"/>
        <v>4591915.536447688</v>
      </c>
      <c r="BI8" s="33" t="e">
        <f t="shared" si="24"/>
        <v>#REF!</v>
      </c>
      <c r="BJ8" s="33" t="e">
        <f t="shared" si="24"/>
        <v>#REF!</v>
      </c>
      <c r="BK8" s="33">
        <f t="shared" si="24"/>
        <v>4588120.8209090903</v>
      </c>
      <c r="BL8" s="33">
        <f t="shared" si="24"/>
        <v>-3794.7155385981423</v>
      </c>
      <c r="BM8" s="33">
        <f t="shared" si="24"/>
        <v>54920.820909090799</v>
      </c>
      <c r="BN8" s="33">
        <f t="shared" si="24"/>
        <v>0</v>
      </c>
      <c r="BO8" s="33">
        <f t="shared" si="24"/>
        <v>0</v>
      </c>
      <c r="BP8" s="33">
        <f t="shared" si="24"/>
        <v>4590486.74</v>
      </c>
      <c r="BQ8" s="32">
        <f t="shared" si="10"/>
        <v>2365.9190909098834</v>
      </c>
      <c r="BR8" s="32">
        <f t="shared" si="11"/>
        <v>57286.740000000224</v>
      </c>
      <c r="BS8" s="32"/>
      <c r="BT8" s="32"/>
      <c r="BU8" s="33"/>
      <c r="BV8" s="34">
        <f t="shared" si="12"/>
        <v>58715.536447688006</v>
      </c>
      <c r="BY8" s="64"/>
      <c r="BZ8" s="64"/>
      <c r="CC8" s="37"/>
      <c r="CD8" s="33">
        <f>SUM(CD9:CD12)</f>
        <v>4471633.0199999996</v>
      </c>
    </row>
    <row r="9" spans="1:82" s="77" customFormat="1" ht="18" customHeight="1" x14ac:dyDescent="0.25">
      <c r="A9" s="65" t="s">
        <v>58</v>
      </c>
      <c r="B9" s="66"/>
      <c r="C9" s="67"/>
      <c r="D9" s="43"/>
      <c r="E9" s="53"/>
      <c r="F9" s="68" t="s">
        <v>81</v>
      </c>
      <c r="G9" s="83">
        <v>3168300</v>
      </c>
      <c r="H9" s="83">
        <v>3068300</v>
      </c>
      <c r="I9" s="83">
        <v>4014000</v>
      </c>
      <c r="J9" s="70" t="s">
        <v>82</v>
      </c>
      <c r="K9" s="83">
        <v>3062881.91</v>
      </c>
      <c r="L9" s="83">
        <v>1937790.86</v>
      </c>
      <c r="M9" s="83">
        <f>L9</f>
        <v>1937790.86</v>
      </c>
      <c r="N9" s="83">
        <f>M9*2</f>
        <v>3875581.72</v>
      </c>
      <c r="O9" s="83">
        <f>[1]rette!G7</f>
        <v>3983926.9799999995</v>
      </c>
      <c r="P9" s="83">
        <f>N9-I9</f>
        <v>-138418.2799999998</v>
      </c>
      <c r="Q9" s="83">
        <v>2989465</v>
      </c>
      <c r="R9" s="83"/>
      <c r="S9" s="83">
        <v>4007462.48</v>
      </c>
      <c r="T9" s="83">
        <f t="shared" si="1"/>
        <v>-6537.5200000000186</v>
      </c>
      <c r="U9" s="83">
        <f t="shared" si="2"/>
        <v>944580.56999999983</v>
      </c>
      <c r="V9" s="83">
        <f t="shared" si="3"/>
        <v>23535.500000000466</v>
      </c>
      <c r="W9" s="84"/>
      <c r="X9" s="83">
        <f>3701381.52+(346697.18/30*31)</f>
        <v>4059635.2726666667</v>
      </c>
      <c r="Y9" s="47">
        <f t="shared" si="4"/>
        <v>52172.792666666675</v>
      </c>
      <c r="Z9" s="85">
        <v>3694146</v>
      </c>
      <c r="AA9" s="29">
        <f>Z9-I9</f>
        <v>-319854</v>
      </c>
      <c r="AB9" s="29">
        <f>Z9-S9</f>
        <v>-313316.47999999998</v>
      </c>
      <c r="AC9" s="89" t="s">
        <v>83</v>
      </c>
      <c r="AD9" s="72"/>
      <c r="AE9" s="72"/>
      <c r="AF9" s="72"/>
      <c r="AG9" s="72"/>
      <c r="AH9" s="85">
        <f>'[3]Retta alberghiera UVM'!$C$14</f>
        <v>3709276.7103293412</v>
      </c>
      <c r="AI9" s="85">
        <f>2154362.7/212*365</f>
        <v>3709162.1957547176</v>
      </c>
      <c r="AJ9" s="85">
        <f>AH9-Z9</f>
        <v>15130.710329341237</v>
      </c>
      <c r="AK9" s="86">
        <v>3708877.82</v>
      </c>
      <c r="AL9" s="85">
        <f>3394242.25+(304702.95/30*31)</f>
        <v>3709101.9649999999</v>
      </c>
      <c r="AM9" s="74">
        <f t="shared" si="6"/>
        <v>-60.23075471771881</v>
      </c>
      <c r="AN9" s="33">
        <f t="shared" si="7"/>
        <v>14955.964999999851</v>
      </c>
      <c r="AO9" s="75">
        <f t="shared" si="8"/>
        <v>15016.19575471757</v>
      </c>
      <c r="AP9" s="72">
        <f>AJ9</f>
        <v>15130.710329341237</v>
      </c>
      <c r="AQ9" s="86" t="s">
        <v>84</v>
      </c>
      <c r="AR9" s="86" t="s">
        <v>85</v>
      </c>
      <c r="AS9" s="86" t="s">
        <v>84</v>
      </c>
      <c r="AT9" s="86">
        <f>'[2]Retta alberghiera 2024'!$D$9+'[2]Retta alberghiera 2024'!$D$15</f>
        <v>3782312.5</v>
      </c>
      <c r="AU9" s="71">
        <v>3708589.9</v>
      </c>
      <c r="AV9" s="71">
        <v>3792600</v>
      </c>
      <c r="AW9" s="71">
        <f>AV9-Z9</f>
        <v>98454</v>
      </c>
      <c r="AX9" s="76">
        <f>AT9-Z9</f>
        <v>88166.5</v>
      </c>
      <c r="AY9" s="76">
        <f>AT9-AL9</f>
        <v>73210.535000000149</v>
      </c>
      <c r="BE9" s="71">
        <v>3795067.67</v>
      </c>
      <c r="BF9" s="71" t="e">
        <f>2207832.83/#REF!*366</f>
        <v>#REF!</v>
      </c>
      <c r="BG9" s="78">
        <f>BE9-AV9</f>
        <v>2467.6699999999255</v>
      </c>
      <c r="BH9" s="71">
        <v>3792416.1284671538</v>
      </c>
      <c r="BI9" s="78" t="e">
        <f>BF9-AV9</f>
        <v>#REF!</v>
      </c>
      <c r="BJ9" s="78" t="e">
        <f>BF9-AU9</f>
        <v>#REF!</v>
      </c>
      <c r="BK9" s="71">
        <v>3789451.82</v>
      </c>
      <c r="BL9" s="79">
        <f>BK9-BH9</f>
        <v>-2964.3084671539254</v>
      </c>
      <c r="BM9" s="79">
        <f>BK9-AV9</f>
        <v>-3148.1800000001676</v>
      </c>
      <c r="BN9" s="87" t="s">
        <v>86</v>
      </c>
      <c r="BO9" s="87" t="s">
        <v>87</v>
      </c>
      <c r="BP9" s="71">
        <v>3789237.62</v>
      </c>
      <c r="BQ9" s="32">
        <f t="shared" si="10"/>
        <v>-214.1999999997206</v>
      </c>
      <c r="BR9" s="32">
        <f t="shared" si="11"/>
        <v>-3362.3799999998882</v>
      </c>
      <c r="BS9" s="87" t="s">
        <v>87</v>
      </c>
      <c r="BT9" s="87" t="s">
        <v>88</v>
      </c>
      <c r="BU9" s="33" t="s">
        <v>89</v>
      </c>
      <c r="BV9" s="34">
        <f t="shared" si="12"/>
        <v>-183.87153284624219</v>
      </c>
      <c r="BY9" s="82"/>
      <c r="BZ9" s="82"/>
      <c r="CC9" s="37"/>
      <c r="CD9" s="71">
        <v>3708589.9</v>
      </c>
    </row>
    <row r="10" spans="1:82" s="77" customFormat="1" ht="18" customHeight="1" x14ac:dyDescent="0.25">
      <c r="A10" s="65" t="s">
        <v>58</v>
      </c>
      <c r="B10" s="66"/>
      <c r="C10" s="67"/>
      <c r="D10" s="43"/>
      <c r="E10" s="53"/>
      <c r="F10" s="68" t="s">
        <v>90</v>
      </c>
      <c r="G10" s="83">
        <v>19200</v>
      </c>
      <c r="H10" s="83">
        <v>22400</v>
      </c>
      <c r="I10" s="83">
        <v>28600</v>
      </c>
      <c r="J10" s="70" t="s">
        <v>91</v>
      </c>
      <c r="K10" s="83">
        <v>24209.93</v>
      </c>
      <c r="L10" s="83">
        <v>23801.58</v>
      </c>
      <c r="M10" s="83">
        <f>L10</f>
        <v>23801.58</v>
      </c>
      <c r="N10" s="83">
        <f>M10*2</f>
        <v>47603.16</v>
      </c>
      <c r="O10" s="83">
        <f>[1]rette!G9</f>
        <v>42771.979999999996</v>
      </c>
      <c r="P10" s="83">
        <f>N10-I10</f>
        <v>19003.160000000003</v>
      </c>
      <c r="Q10" s="83">
        <v>32121.279999999999</v>
      </c>
      <c r="R10" s="83"/>
      <c r="S10" s="83">
        <f>'[4]30,9 PROIEZIONE 31_12_2022'!$S$10</f>
        <v>80104.799999999988</v>
      </c>
      <c r="T10" s="83">
        <f t="shared" si="1"/>
        <v>51504.799999999988</v>
      </c>
      <c r="U10" s="83">
        <f t="shared" si="2"/>
        <v>55894.869999999988</v>
      </c>
      <c r="V10" s="83">
        <f t="shared" si="3"/>
        <v>37332.819999999992</v>
      </c>
      <c r="W10" s="84"/>
      <c r="X10" s="83">
        <f>40334.88+(3243/30*31)</f>
        <v>43685.979999999996</v>
      </c>
      <c r="Y10" s="47">
        <f t="shared" si="4"/>
        <v>-36418.819999999992</v>
      </c>
      <c r="Z10" s="85">
        <v>35806</v>
      </c>
      <c r="AA10" s="29">
        <f>Z10-I10</f>
        <v>7206</v>
      </c>
      <c r="AB10" s="29">
        <f>Z10-S10</f>
        <v>-44298.799999999988</v>
      </c>
      <c r="AC10" s="72"/>
      <c r="AD10" s="72"/>
      <c r="AE10" s="72"/>
      <c r="AF10" s="72"/>
      <c r="AG10" s="72"/>
      <c r="AH10" s="85">
        <f>'[3]Retta alberghiera fuori PAT'!$C$14</f>
        <v>27107.402544910183</v>
      </c>
      <c r="AI10" s="85">
        <f>16997.03/212*365</f>
        <v>29263.754481132077</v>
      </c>
      <c r="AJ10" s="85">
        <f>AH10-Z10</f>
        <v>-8698.5974550898172</v>
      </c>
      <c r="AK10" s="86">
        <v>27943.33</v>
      </c>
      <c r="AL10" s="85">
        <f>24805.13+(1919.5/30*31)</f>
        <v>26788.613333333335</v>
      </c>
      <c r="AM10" s="74">
        <f t="shared" si="6"/>
        <v>-2475.1411477987422</v>
      </c>
      <c r="AN10" s="33">
        <f t="shared" si="7"/>
        <v>-9017.3866666666654</v>
      </c>
      <c r="AO10" s="75">
        <f t="shared" si="8"/>
        <v>-6542.2455188679232</v>
      </c>
      <c r="AP10" s="72">
        <f>AJ10</f>
        <v>-8698.5974550898172</v>
      </c>
      <c r="AQ10" s="85" t="s">
        <v>92</v>
      </c>
      <c r="AR10" s="85" t="s">
        <v>93</v>
      </c>
      <c r="AS10" s="85" t="s">
        <v>92</v>
      </c>
      <c r="AT10" s="86">
        <f>'[2]Retta alberghiera 2024'!$D$11</f>
        <v>18268.25</v>
      </c>
      <c r="AU10" s="71">
        <v>26916.18</v>
      </c>
      <c r="AV10" s="71">
        <v>18300</v>
      </c>
      <c r="AW10" s="71">
        <f>AV10-Z10</f>
        <v>-17506</v>
      </c>
      <c r="AX10" s="76">
        <f>AT10-Z10</f>
        <v>-17537.75</v>
      </c>
      <c r="AY10" s="76">
        <f>AT10-AL10</f>
        <v>-8520.3633333333346</v>
      </c>
      <c r="BE10" s="71">
        <v>21039.17</v>
      </c>
      <c r="BF10" s="71" t="e">
        <f>12244.15/#REF!*366</f>
        <v>#REF!</v>
      </c>
      <c r="BG10" s="78">
        <f>BE10-AV10</f>
        <v>2739.1699999999983</v>
      </c>
      <c r="BH10" s="71">
        <v>21041.927737226277</v>
      </c>
      <c r="BI10" s="78" t="e">
        <f>BF10-AV10</f>
        <v>#REF!</v>
      </c>
      <c r="BJ10" s="78" t="e">
        <f>BF10-AU10</f>
        <v>#REF!</v>
      </c>
      <c r="BK10" s="71">
        <v>21045.3</v>
      </c>
      <c r="BL10" s="79">
        <f>BK10-BH10</f>
        <v>3.3722627737224684</v>
      </c>
      <c r="BM10" s="79">
        <f>BK10-AV10</f>
        <v>2745.2999999999993</v>
      </c>
      <c r="BN10" s="87" t="s">
        <v>94</v>
      </c>
      <c r="BO10" s="87" t="s">
        <v>94</v>
      </c>
      <c r="BP10" s="71">
        <v>21043.3</v>
      </c>
      <c r="BQ10" s="32">
        <f t="shared" si="10"/>
        <v>-2</v>
      </c>
      <c r="BR10" s="32">
        <f t="shared" si="11"/>
        <v>2743.2999999999993</v>
      </c>
      <c r="BS10" s="87" t="s">
        <v>94</v>
      </c>
      <c r="BT10" s="87" t="s">
        <v>94</v>
      </c>
      <c r="BU10" s="33" t="s">
        <v>94</v>
      </c>
      <c r="BV10" s="34">
        <f t="shared" si="12"/>
        <v>2741.9277372262768</v>
      </c>
      <c r="BY10" s="82"/>
      <c r="BZ10" s="82"/>
      <c r="CC10" s="37"/>
      <c r="CD10" s="71">
        <v>26916.18</v>
      </c>
    </row>
    <row r="11" spans="1:82" s="77" customFormat="1" ht="18" customHeight="1" x14ac:dyDescent="0.25">
      <c r="A11" s="65"/>
      <c r="B11" s="66"/>
      <c r="C11" s="67"/>
      <c r="D11" s="43"/>
      <c r="E11" s="53"/>
      <c r="F11" s="68" t="s">
        <v>95</v>
      </c>
      <c r="G11" s="83"/>
      <c r="H11" s="83"/>
      <c r="I11" s="83"/>
      <c r="J11" s="70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4"/>
      <c r="X11" s="83"/>
      <c r="Y11" s="47">
        <f t="shared" si="4"/>
        <v>0</v>
      </c>
      <c r="Z11" s="85">
        <v>565216</v>
      </c>
      <c r="AA11" s="29"/>
      <c r="AB11" s="29"/>
      <c r="AC11" s="89"/>
      <c r="AD11" s="72"/>
      <c r="AE11" s="72"/>
      <c r="AF11" s="72"/>
      <c r="AG11" s="72"/>
      <c r="AH11" s="85">
        <f>'[3]Retta alberghiera paganti'!$C$14</f>
        <v>730911.99730538926</v>
      </c>
      <c r="AI11" s="85">
        <f>415701.25/212*365</f>
        <v>715712.05778301891</v>
      </c>
      <c r="AJ11" s="85">
        <f>AH11-Z11</f>
        <v>165695.99730538926</v>
      </c>
      <c r="AK11" s="86">
        <v>729429.25</v>
      </c>
      <c r="AL11" s="85">
        <f>668834.54+(60239.49/30*31)</f>
        <v>731082.01300000004</v>
      </c>
      <c r="AM11" s="74">
        <f t="shared" si="6"/>
        <v>15369.955216981121</v>
      </c>
      <c r="AN11" s="33">
        <f t="shared" si="7"/>
        <v>165866.01300000004</v>
      </c>
      <c r="AO11" s="75">
        <f t="shared" si="8"/>
        <v>150496.05778301891</v>
      </c>
      <c r="AP11" s="72">
        <f>AJ11</f>
        <v>165695.99730538926</v>
      </c>
      <c r="AQ11" s="87" t="s">
        <v>96</v>
      </c>
      <c r="AR11" s="87" t="s">
        <v>97</v>
      </c>
      <c r="AS11" s="87" t="s">
        <v>96</v>
      </c>
      <c r="AT11" s="86">
        <f>'[2]Retta alberghiera 2024'!$D$13</f>
        <v>717936.75000000012</v>
      </c>
      <c r="AU11" s="71">
        <v>733606.26</v>
      </c>
      <c r="AV11" s="71">
        <v>719900</v>
      </c>
      <c r="AW11" s="71">
        <f>AV11-Z11</f>
        <v>154684</v>
      </c>
      <c r="AX11" s="76">
        <f>AT11-Z11</f>
        <v>152720.75000000012</v>
      </c>
      <c r="AY11" s="76">
        <f>AT11-AL11</f>
        <v>-13145.262999999919</v>
      </c>
      <c r="AZ11" s="72"/>
      <c r="BE11" s="71">
        <v>767814.39</v>
      </c>
      <c r="BF11" s="71" t="e">
        <f>451724.64/#REF!*366</f>
        <v>#REF!</v>
      </c>
      <c r="BG11" s="78">
        <f>BE11-AV11</f>
        <v>47914.390000000014</v>
      </c>
      <c r="BH11" s="71">
        <v>775656.61357664224</v>
      </c>
      <c r="BI11" s="78" t="e">
        <f>BF11-AV11</f>
        <v>#REF!</v>
      </c>
      <c r="BJ11" s="78" t="e">
        <f>BF11-AU11</f>
        <v>#REF!</v>
      </c>
      <c r="BK11" s="71">
        <v>774872.81</v>
      </c>
      <c r="BL11" s="79">
        <f>BK11-BH11</f>
        <v>-783.80357664218172</v>
      </c>
      <c r="BM11" s="79">
        <f>BK11-AV11</f>
        <v>54972.810000000056</v>
      </c>
      <c r="BN11" s="87" t="s">
        <v>98</v>
      </c>
      <c r="BO11" s="87" t="s">
        <v>99</v>
      </c>
      <c r="BP11" s="71">
        <v>777358.37</v>
      </c>
      <c r="BQ11" s="32">
        <f t="shared" si="10"/>
        <v>2485.5599999999395</v>
      </c>
      <c r="BR11" s="32">
        <f t="shared" si="11"/>
        <v>57458.369999999995</v>
      </c>
      <c r="BS11" s="87" t="s">
        <v>100</v>
      </c>
      <c r="BT11" s="87" t="s">
        <v>101</v>
      </c>
      <c r="BU11" s="33" t="s">
        <v>102</v>
      </c>
      <c r="BV11" s="34">
        <f t="shared" si="12"/>
        <v>55756.613576642238</v>
      </c>
      <c r="BX11" s="77">
        <f>0.76*131*366</f>
        <v>36438.959999999999</v>
      </c>
      <c r="BY11" s="82"/>
      <c r="BZ11" s="82"/>
      <c r="CC11" s="37"/>
      <c r="CD11" s="71">
        <v>733606.26</v>
      </c>
    </row>
    <row r="12" spans="1:82" s="77" customFormat="1" ht="18" customHeight="1" x14ac:dyDescent="0.25">
      <c r="A12" s="65" t="s">
        <v>58</v>
      </c>
      <c r="B12" s="66"/>
      <c r="C12" s="67"/>
      <c r="D12" s="43"/>
      <c r="E12" s="53"/>
      <c r="F12" s="68" t="s">
        <v>103</v>
      </c>
      <c r="G12" s="83">
        <v>0</v>
      </c>
      <c r="H12" s="83">
        <v>100</v>
      </c>
      <c r="I12" s="83">
        <v>0</v>
      </c>
      <c r="J12" s="70" t="s">
        <v>104</v>
      </c>
      <c r="K12" s="83">
        <v>147.94999999999999</v>
      </c>
      <c r="L12" s="83">
        <v>261.89999999999998</v>
      </c>
      <c r="M12" s="83">
        <f>L12</f>
        <v>261.89999999999998</v>
      </c>
      <c r="N12" s="83">
        <f>M12*2</f>
        <v>523.79999999999995</v>
      </c>
      <c r="O12" s="83">
        <f>N12</f>
        <v>523.79999999999995</v>
      </c>
      <c r="P12" s="83">
        <f>N12-I12</f>
        <v>523.79999999999995</v>
      </c>
      <c r="Q12" s="83">
        <v>384.85</v>
      </c>
      <c r="R12" s="83"/>
      <c r="S12" s="83">
        <f>Q12</f>
        <v>384.85</v>
      </c>
      <c r="T12" s="83">
        <f t="shared" ref="T12:T53" si="25">S12-I12</f>
        <v>384.85</v>
      </c>
      <c r="U12" s="83">
        <f t="shared" ref="U12:U55" si="26">S12-K12</f>
        <v>236.90000000000003</v>
      </c>
      <c r="V12" s="83">
        <f t="shared" ref="V12:V55" si="27">S12-O12</f>
        <v>-138.94999999999993</v>
      </c>
      <c r="W12" s="84"/>
      <c r="X12" s="83">
        <f>636.95</f>
        <v>636.95000000000005</v>
      </c>
      <c r="Y12" s="47">
        <f t="shared" si="4"/>
        <v>252.10000000000002</v>
      </c>
      <c r="Z12" s="85">
        <v>0</v>
      </c>
      <c r="AA12" s="29">
        <f>Z12-I12</f>
        <v>0</v>
      </c>
      <c r="AB12" s="29">
        <f>Z12-S12</f>
        <v>-384.85</v>
      </c>
      <c r="AC12" s="72" t="s">
        <v>105</v>
      </c>
      <c r="AD12" s="72"/>
      <c r="AE12" s="72"/>
      <c r="AF12" s="72"/>
      <c r="AG12" s="72"/>
      <c r="AH12" s="85">
        <v>0</v>
      </c>
      <c r="AI12" s="85">
        <f>1684.73/7*12</f>
        <v>2888.1085714285714</v>
      </c>
      <c r="AJ12" s="85">
        <f>AH12-Z12</f>
        <v>0</v>
      </c>
      <c r="AK12" s="86">
        <v>2612.1733333333336</v>
      </c>
      <c r="AL12" s="85">
        <f>2217.33/11*12</f>
        <v>2418.9054545454546</v>
      </c>
      <c r="AM12" s="74">
        <f t="shared" si="6"/>
        <v>-469.20311688311676</v>
      </c>
      <c r="AN12" s="33">
        <f t="shared" si="7"/>
        <v>2418.9054545454546</v>
      </c>
      <c r="AO12" s="75">
        <f t="shared" si="8"/>
        <v>2888.1085714285714</v>
      </c>
      <c r="AQ12" s="90" t="s">
        <v>106</v>
      </c>
      <c r="AR12" s="90" t="s">
        <v>107</v>
      </c>
      <c r="AS12" s="90" t="s">
        <v>106</v>
      </c>
      <c r="AT12" s="86">
        <f>AL12</f>
        <v>2418.9054545454546</v>
      </c>
      <c r="AU12" s="71">
        <v>2520.6799999999998</v>
      </c>
      <c r="AV12" s="71">
        <f>FLOOR(AT12,100)</f>
        <v>2400</v>
      </c>
      <c r="AW12" s="71">
        <f>AV12-Z12</f>
        <v>2400</v>
      </c>
      <c r="AX12" s="76">
        <f>AT12-Z12</f>
        <v>2418.9054545454546</v>
      </c>
      <c r="AY12" s="76">
        <f>AT12-AL12</f>
        <v>0</v>
      </c>
      <c r="BE12" s="71">
        <v>2400</v>
      </c>
      <c r="BF12" s="71">
        <f>1776.45/7*12</f>
        <v>3045.3428571428572</v>
      </c>
      <c r="BG12" s="78">
        <f>BE12-AV12</f>
        <v>0</v>
      </c>
      <c r="BH12" s="71">
        <v>2800.8666666666668</v>
      </c>
      <c r="BI12" s="78">
        <f>BF12-AV12</f>
        <v>645.34285714285716</v>
      </c>
      <c r="BJ12" s="78">
        <f>BF12-AU12</f>
        <v>524.66285714285732</v>
      </c>
      <c r="BK12" s="71">
        <v>2750.8909090909092</v>
      </c>
      <c r="BL12" s="79">
        <f>BK12-BH12</f>
        <v>-49.975757575757598</v>
      </c>
      <c r="BM12" s="79">
        <f>BK12-AV12</f>
        <v>350.89090909090919</v>
      </c>
      <c r="BN12" s="91" t="s">
        <v>108</v>
      </c>
      <c r="BO12" s="91" t="s">
        <v>109</v>
      </c>
      <c r="BP12" s="71">
        <v>2847.45</v>
      </c>
      <c r="BQ12" s="32">
        <f t="shared" si="10"/>
        <v>96.559090909090628</v>
      </c>
      <c r="BR12" s="32">
        <f t="shared" si="11"/>
        <v>447.44999999999982</v>
      </c>
      <c r="BS12" s="92"/>
      <c r="BT12" s="91" t="s">
        <v>110</v>
      </c>
      <c r="BU12" s="33"/>
      <c r="BV12" s="34">
        <f t="shared" si="12"/>
        <v>400.86666666666679</v>
      </c>
      <c r="BY12" s="82">
        <v>946434.3</v>
      </c>
      <c r="BZ12" s="82">
        <v>942899.9</v>
      </c>
      <c r="CA12" s="82">
        <f>BZ12-BY12</f>
        <v>-3534.4000000000233</v>
      </c>
      <c r="CC12" s="37"/>
      <c r="CD12" s="71">
        <v>2520.6799999999998</v>
      </c>
    </row>
    <row r="13" spans="1:82" s="35" customFormat="1" ht="18" customHeight="1" x14ac:dyDescent="0.25">
      <c r="A13" s="38" t="s">
        <v>58</v>
      </c>
      <c r="B13" s="39"/>
      <c r="C13" s="93"/>
      <c r="D13" s="43" t="s">
        <v>111</v>
      </c>
      <c r="E13" s="44"/>
      <c r="F13" s="45"/>
      <c r="G13" s="46">
        <f t="shared" ref="G13:Q13" si="28">G14</f>
        <v>71300</v>
      </c>
      <c r="H13" s="46">
        <f t="shared" si="28"/>
        <v>64900</v>
      </c>
      <c r="I13" s="46">
        <f t="shared" si="28"/>
        <v>73400</v>
      </c>
      <c r="J13" s="46" t="e">
        <f t="shared" si="28"/>
        <v>#VALUE!</v>
      </c>
      <c r="K13" s="46">
        <f t="shared" si="28"/>
        <v>64238.94</v>
      </c>
      <c r="L13" s="46">
        <f t="shared" si="28"/>
        <v>35266.949999999997</v>
      </c>
      <c r="M13" s="46">
        <f t="shared" si="28"/>
        <v>35266.949999999997</v>
      </c>
      <c r="N13" s="46">
        <f t="shared" si="28"/>
        <v>70533.899999999994</v>
      </c>
      <c r="O13" s="46">
        <f t="shared" si="28"/>
        <v>71367.75</v>
      </c>
      <c r="P13" s="46">
        <f t="shared" si="28"/>
        <v>-2866.1000000000058</v>
      </c>
      <c r="Q13" s="46">
        <f t="shared" si="28"/>
        <v>53317.35</v>
      </c>
      <c r="R13" s="46"/>
      <c r="S13" s="46">
        <f>S14</f>
        <v>71367.75</v>
      </c>
      <c r="T13" s="46">
        <f t="shared" si="25"/>
        <v>-2032.25</v>
      </c>
      <c r="U13" s="46">
        <f t="shared" si="26"/>
        <v>7128.8099999999977</v>
      </c>
      <c r="V13" s="46">
        <f t="shared" si="27"/>
        <v>0</v>
      </c>
      <c r="W13" s="47"/>
      <c r="X13" s="46">
        <f>X14</f>
        <v>71367.75</v>
      </c>
      <c r="Y13" s="47">
        <f t="shared" si="4"/>
        <v>0</v>
      </c>
      <c r="Z13" s="48">
        <f t="shared" ref="Z13:AL13" si="29">Z14</f>
        <v>71613</v>
      </c>
      <c r="AA13" s="48">
        <f t="shared" si="29"/>
        <v>-1787</v>
      </c>
      <c r="AB13" s="48">
        <f t="shared" si="29"/>
        <v>245.25</v>
      </c>
      <c r="AC13" s="48">
        <f t="shared" si="29"/>
        <v>0</v>
      </c>
      <c r="AD13" s="48">
        <f t="shared" si="29"/>
        <v>0</v>
      </c>
      <c r="AE13" s="48">
        <f t="shared" si="29"/>
        <v>0</v>
      </c>
      <c r="AF13" s="48">
        <f t="shared" si="29"/>
        <v>0</v>
      </c>
      <c r="AG13" s="48">
        <f t="shared" si="29"/>
        <v>0</v>
      </c>
      <c r="AH13" s="48">
        <f t="shared" si="29"/>
        <v>71570.161676646705</v>
      </c>
      <c r="AI13" s="48">
        <f t="shared" si="29"/>
        <v>71613</v>
      </c>
      <c r="AJ13" s="48">
        <f t="shared" si="29"/>
        <v>-42.838323353294982</v>
      </c>
      <c r="AK13" s="49">
        <f t="shared" si="29"/>
        <v>71606.45</v>
      </c>
      <c r="AL13" s="48">
        <f t="shared" si="29"/>
        <v>71568.736666666664</v>
      </c>
      <c r="AM13" s="74">
        <f t="shared" si="6"/>
        <v>-44.26333333333605</v>
      </c>
      <c r="AN13" s="94">
        <f t="shared" si="7"/>
        <v>-44.26333333333605</v>
      </c>
      <c r="AO13" s="95">
        <f t="shared" si="8"/>
        <v>0</v>
      </c>
      <c r="AQ13" s="48"/>
      <c r="AR13" s="48"/>
      <c r="AS13" s="48"/>
      <c r="AT13" s="49">
        <f t="shared" ref="AT13:BP13" si="30">AT14</f>
        <v>73073</v>
      </c>
      <c r="AU13" s="48">
        <f t="shared" si="30"/>
        <v>71573.8</v>
      </c>
      <c r="AV13" s="48">
        <f t="shared" si="30"/>
        <v>73200</v>
      </c>
      <c r="AW13" s="48">
        <f t="shared" si="30"/>
        <v>1587</v>
      </c>
      <c r="AX13" s="48">
        <f t="shared" si="30"/>
        <v>1460</v>
      </c>
      <c r="AY13" s="48">
        <f t="shared" si="30"/>
        <v>1504.263333333336</v>
      </c>
      <c r="AZ13" s="48">
        <f t="shared" si="30"/>
        <v>0</v>
      </c>
      <c r="BA13" s="48">
        <f t="shared" si="30"/>
        <v>0</v>
      </c>
      <c r="BB13" s="48">
        <f t="shared" si="30"/>
        <v>0</v>
      </c>
      <c r="BC13" s="48">
        <f t="shared" si="30"/>
        <v>0</v>
      </c>
      <c r="BD13" s="48">
        <f t="shared" si="30"/>
        <v>0</v>
      </c>
      <c r="BE13" s="48">
        <f t="shared" si="30"/>
        <v>73273.2</v>
      </c>
      <c r="BF13" s="48" t="e">
        <f t="shared" si="30"/>
        <v>#REF!</v>
      </c>
      <c r="BG13" s="48">
        <f t="shared" si="30"/>
        <v>73.19999999999709</v>
      </c>
      <c r="BH13" s="48">
        <f t="shared" si="30"/>
        <v>73072.634671532855</v>
      </c>
      <c r="BI13" s="48" t="e">
        <f t="shared" si="30"/>
        <v>#REF!</v>
      </c>
      <c r="BJ13" s="48" t="e">
        <f t="shared" si="30"/>
        <v>#REF!</v>
      </c>
      <c r="BK13" s="48">
        <f t="shared" si="30"/>
        <v>73109.16</v>
      </c>
      <c r="BL13" s="48">
        <f t="shared" si="30"/>
        <v>36.525328467148938</v>
      </c>
      <c r="BM13" s="48">
        <f t="shared" si="30"/>
        <v>-90.839999999996508</v>
      </c>
      <c r="BN13" s="48" t="e">
        <f t="shared" si="30"/>
        <v>#VALUE!</v>
      </c>
      <c r="BO13" s="48" t="e">
        <f t="shared" si="30"/>
        <v>#VALUE!</v>
      </c>
      <c r="BP13" s="48">
        <f t="shared" si="30"/>
        <v>73123.05</v>
      </c>
      <c r="BQ13" s="32">
        <f t="shared" si="10"/>
        <v>13.889999999999418</v>
      </c>
      <c r="BR13" s="32">
        <f t="shared" si="11"/>
        <v>-76.94999999999709</v>
      </c>
      <c r="BS13" s="32"/>
      <c r="BT13" s="32"/>
      <c r="BU13" s="33"/>
      <c r="BV13" s="34">
        <f t="shared" si="12"/>
        <v>-127.36532846714545</v>
      </c>
      <c r="BY13" s="36">
        <v>5231.05</v>
      </c>
      <c r="BZ13" s="36">
        <v>5913.55</v>
      </c>
      <c r="CA13" s="36">
        <f>BZ13-BY13</f>
        <v>682.5</v>
      </c>
      <c r="CC13" s="37"/>
      <c r="CD13" s="48">
        <f>CD14</f>
        <v>71573.8</v>
      </c>
    </row>
    <row r="14" spans="1:82" s="63" customFormat="1" ht="18" customHeight="1" x14ac:dyDescent="0.25">
      <c r="A14" s="96" t="s">
        <v>58</v>
      </c>
      <c r="B14" s="97"/>
      <c r="C14" s="98"/>
      <c r="D14" s="44"/>
      <c r="E14" s="53" t="s">
        <v>111</v>
      </c>
      <c r="F14" s="54"/>
      <c r="G14" s="55">
        <f t="shared" ref="G14:Q14" si="31">G15+G16</f>
        <v>71300</v>
      </c>
      <c r="H14" s="55">
        <f t="shared" si="31"/>
        <v>64900</v>
      </c>
      <c r="I14" s="55">
        <f t="shared" si="31"/>
        <v>73400</v>
      </c>
      <c r="J14" s="55" t="e">
        <f t="shared" si="31"/>
        <v>#VALUE!</v>
      </c>
      <c r="K14" s="55">
        <f t="shared" si="31"/>
        <v>64238.94</v>
      </c>
      <c r="L14" s="55">
        <f t="shared" si="31"/>
        <v>35266.949999999997</v>
      </c>
      <c r="M14" s="55">
        <f t="shared" si="31"/>
        <v>35266.949999999997</v>
      </c>
      <c r="N14" s="55">
        <f t="shared" si="31"/>
        <v>70533.899999999994</v>
      </c>
      <c r="O14" s="55">
        <f t="shared" si="31"/>
        <v>71367.75</v>
      </c>
      <c r="P14" s="55">
        <f t="shared" si="31"/>
        <v>-2866.1000000000058</v>
      </c>
      <c r="Q14" s="55">
        <f t="shared" si="31"/>
        <v>53317.35</v>
      </c>
      <c r="R14" s="55"/>
      <c r="S14" s="55">
        <f>S15+S16</f>
        <v>71367.75</v>
      </c>
      <c r="T14" s="55">
        <f t="shared" si="25"/>
        <v>-2032.25</v>
      </c>
      <c r="U14" s="55">
        <f t="shared" si="26"/>
        <v>7128.8099999999977</v>
      </c>
      <c r="V14" s="55">
        <f t="shared" si="27"/>
        <v>0</v>
      </c>
      <c r="W14" s="57"/>
      <c r="X14" s="55">
        <f>X15+X16</f>
        <v>71367.75</v>
      </c>
      <c r="Y14" s="88">
        <f t="shared" si="4"/>
        <v>0</v>
      </c>
      <c r="Z14" s="33">
        <f t="shared" ref="Z14:AL14" si="32">Z15+Z16</f>
        <v>71613</v>
      </c>
      <c r="AA14" s="33">
        <f t="shared" si="32"/>
        <v>-1787</v>
      </c>
      <c r="AB14" s="33">
        <f t="shared" si="32"/>
        <v>245.25</v>
      </c>
      <c r="AC14" s="33">
        <f t="shared" si="32"/>
        <v>0</v>
      </c>
      <c r="AD14" s="33">
        <f t="shared" si="32"/>
        <v>0</v>
      </c>
      <c r="AE14" s="33">
        <f t="shared" si="32"/>
        <v>0</v>
      </c>
      <c r="AF14" s="33">
        <f t="shared" si="32"/>
        <v>0</v>
      </c>
      <c r="AG14" s="33">
        <f t="shared" si="32"/>
        <v>0</v>
      </c>
      <c r="AH14" s="33">
        <f t="shared" si="32"/>
        <v>71570.161676646705</v>
      </c>
      <c r="AI14" s="33">
        <f t="shared" si="32"/>
        <v>71613</v>
      </c>
      <c r="AJ14" s="33">
        <f t="shared" si="32"/>
        <v>-42.838323353294982</v>
      </c>
      <c r="AK14" s="60">
        <f t="shared" si="32"/>
        <v>71606.45</v>
      </c>
      <c r="AL14" s="33">
        <f t="shared" si="32"/>
        <v>71568.736666666664</v>
      </c>
      <c r="AM14" s="74">
        <f t="shared" si="6"/>
        <v>-44.26333333333605</v>
      </c>
      <c r="AN14" s="33">
        <f t="shared" si="7"/>
        <v>-44.26333333333605</v>
      </c>
      <c r="AO14" s="75">
        <f t="shared" si="8"/>
        <v>0</v>
      </c>
      <c r="AQ14" s="33"/>
      <c r="AR14" s="33"/>
      <c r="AS14" s="33"/>
      <c r="AT14" s="60">
        <f t="shared" ref="AT14:BP14" si="33">AT15+AT16</f>
        <v>73073</v>
      </c>
      <c r="AU14" s="33">
        <f t="shared" si="33"/>
        <v>71573.8</v>
      </c>
      <c r="AV14" s="33">
        <f t="shared" si="33"/>
        <v>73200</v>
      </c>
      <c r="AW14" s="33">
        <f t="shared" si="33"/>
        <v>1587</v>
      </c>
      <c r="AX14" s="33">
        <f t="shared" si="33"/>
        <v>1460</v>
      </c>
      <c r="AY14" s="33">
        <f t="shared" si="33"/>
        <v>1504.263333333336</v>
      </c>
      <c r="AZ14" s="33">
        <f t="shared" si="33"/>
        <v>0</v>
      </c>
      <c r="BA14" s="33">
        <f t="shared" si="33"/>
        <v>0</v>
      </c>
      <c r="BB14" s="33">
        <f t="shared" si="33"/>
        <v>0</v>
      </c>
      <c r="BC14" s="33">
        <f t="shared" si="33"/>
        <v>0</v>
      </c>
      <c r="BD14" s="33">
        <f t="shared" si="33"/>
        <v>0</v>
      </c>
      <c r="BE14" s="33">
        <f t="shared" si="33"/>
        <v>73273.2</v>
      </c>
      <c r="BF14" s="33" t="e">
        <f t="shared" si="33"/>
        <v>#REF!</v>
      </c>
      <c r="BG14" s="33">
        <f t="shared" si="33"/>
        <v>73.19999999999709</v>
      </c>
      <c r="BH14" s="33">
        <f t="shared" si="33"/>
        <v>73072.634671532855</v>
      </c>
      <c r="BI14" s="33" t="e">
        <f t="shared" si="33"/>
        <v>#REF!</v>
      </c>
      <c r="BJ14" s="33" t="e">
        <f t="shared" si="33"/>
        <v>#REF!</v>
      </c>
      <c r="BK14" s="33">
        <f t="shared" si="33"/>
        <v>73109.16</v>
      </c>
      <c r="BL14" s="33">
        <f t="shared" si="33"/>
        <v>36.525328467148938</v>
      </c>
      <c r="BM14" s="33">
        <f t="shared" si="33"/>
        <v>-90.839999999996508</v>
      </c>
      <c r="BN14" s="33" t="e">
        <f t="shared" si="33"/>
        <v>#VALUE!</v>
      </c>
      <c r="BO14" s="33" t="e">
        <f t="shared" si="33"/>
        <v>#VALUE!</v>
      </c>
      <c r="BP14" s="33">
        <f t="shared" si="33"/>
        <v>73123.05</v>
      </c>
      <c r="BQ14" s="32">
        <f t="shared" si="10"/>
        <v>13.889999999999418</v>
      </c>
      <c r="BR14" s="32">
        <f t="shared" si="11"/>
        <v>-76.94999999999709</v>
      </c>
      <c r="BS14" s="32"/>
      <c r="BT14" s="32"/>
      <c r="BU14" s="33"/>
      <c r="BV14" s="34">
        <f t="shared" si="12"/>
        <v>-127.36532846714545</v>
      </c>
      <c r="BY14" s="64">
        <f>SUM(BY12:BY13)</f>
        <v>951665.35000000009</v>
      </c>
      <c r="BZ14" s="64">
        <f>SUM(BZ12:BZ13)</f>
        <v>948813.45000000007</v>
      </c>
      <c r="CC14" s="37"/>
      <c r="CD14" s="33">
        <f>CD15+CD16</f>
        <v>71573.8</v>
      </c>
    </row>
    <row r="15" spans="1:82" s="77" customFormat="1" ht="18" customHeight="1" x14ac:dyDescent="0.25">
      <c r="A15" s="99" t="s">
        <v>58</v>
      </c>
      <c r="B15" s="100"/>
      <c r="C15" s="101"/>
      <c r="D15" s="43"/>
      <c r="E15" s="53"/>
      <c r="F15" s="68" t="s">
        <v>112</v>
      </c>
      <c r="G15" s="69">
        <v>71300</v>
      </c>
      <c r="H15" s="69">
        <v>64900</v>
      </c>
      <c r="I15" s="69">
        <v>73400</v>
      </c>
      <c r="J15" s="70" t="s">
        <v>113</v>
      </c>
      <c r="K15" s="69">
        <v>64238.94</v>
      </c>
      <c r="L15" s="69">
        <v>35266.949999999997</v>
      </c>
      <c r="M15" s="69">
        <f>L15</f>
        <v>35266.949999999997</v>
      </c>
      <c r="N15" s="69">
        <f>M15*2</f>
        <v>70533.899999999994</v>
      </c>
      <c r="O15" s="69">
        <f>[1]rette!G11</f>
        <v>71367.75</v>
      </c>
      <c r="P15" s="69">
        <f>N15-I15</f>
        <v>-2866.1000000000058</v>
      </c>
      <c r="Q15" s="69">
        <v>53317.35</v>
      </c>
      <c r="R15" s="69"/>
      <c r="S15" s="69">
        <v>71367.75</v>
      </c>
      <c r="T15" s="69">
        <f t="shared" si="25"/>
        <v>-2032.25</v>
      </c>
      <c r="U15" s="69">
        <f t="shared" si="26"/>
        <v>7128.8099999999977</v>
      </c>
      <c r="V15" s="69">
        <f t="shared" si="27"/>
        <v>0</v>
      </c>
      <c r="W15" s="69"/>
      <c r="X15" s="69">
        <f>65285.55+(5886/30*31)</f>
        <v>71367.75</v>
      </c>
      <c r="Y15" s="47">
        <f t="shared" si="4"/>
        <v>0</v>
      </c>
      <c r="Z15" s="71">
        <v>71613</v>
      </c>
      <c r="AA15" s="29">
        <f>Z15-I15</f>
        <v>-1787</v>
      </c>
      <c r="AB15" s="29">
        <f>Z15-S15</f>
        <v>245.25</v>
      </c>
      <c r="AC15" s="72"/>
      <c r="AD15" s="72"/>
      <c r="AE15" s="72"/>
      <c r="AF15" s="72"/>
      <c r="AG15" s="72"/>
      <c r="AH15" s="71">
        <f>'[3]Retta alberghiera CS'!$C$14</f>
        <v>71570.161676646705</v>
      </c>
      <c r="AI15" s="71">
        <f>41594.4/212*365</f>
        <v>71613</v>
      </c>
      <c r="AJ15" s="71">
        <f>AH15-Z15</f>
        <v>-42.838323353294982</v>
      </c>
      <c r="AK15" s="73">
        <v>71606.45</v>
      </c>
      <c r="AL15" s="71">
        <f>65491.6+(5881.1/30*31)</f>
        <v>71568.736666666664</v>
      </c>
      <c r="AM15" s="74">
        <f t="shared" si="6"/>
        <v>-44.26333333333605</v>
      </c>
      <c r="AN15" s="33">
        <f t="shared" si="7"/>
        <v>-44.26333333333605</v>
      </c>
      <c r="AO15" s="75">
        <f t="shared" si="8"/>
        <v>0</v>
      </c>
      <c r="AQ15" s="85" t="s">
        <v>114</v>
      </c>
      <c r="AR15" s="85" t="s">
        <v>114</v>
      </c>
      <c r="AS15" s="85" t="s">
        <v>114</v>
      </c>
      <c r="AT15" s="73">
        <f>'[2]Retta alberghiera 2024'!$D$18</f>
        <v>73073</v>
      </c>
      <c r="AU15" s="71">
        <v>71573.8</v>
      </c>
      <c r="AV15" s="71">
        <v>73200</v>
      </c>
      <c r="AW15" s="71">
        <f>AV15-Z15</f>
        <v>1587</v>
      </c>
      <c r="AX15" s="76">
        <f>AT15-Z15</f>
        <v>1460</v>
      </c>
      <c r="AY15" s="76">
        <f>AT15-AL15</f>
        <v>1504.263333333336</v>
      </c>
      <c r="BE15" s="71">
        <v>73273.2</v>
      </c>
      <c r="BF15" s="71" t="e">
        <f>42542.5/#REF!*366</f>
        <v>#REF!</v>
      </c>
      <c r="BG15" s="78">
        <f>BE15-AV15</f>
        <v>73.19999999999709</v>
      </c>
      <c r="BH15" s="71">
        <v>73072.634671532855</v>
      </c>
      <c r="BI15" s="78" t="e">
        <f>BF15-AV15</f>
        <v>#REF!</v>
      </c>
      <c r="BJ15" s="78" t="e">
        <f>BF15-AU15</f>
        <v>#REF!</v>
      </c>
      <c r="BK15" s="71">
        <v>73109.16</v>
      </c>
      <c r="BL15" s="79">
        <f>BK15-BH15</f>
        <v>36.525328467148938</v>
      </c>
      <c r="BM15" s="79">
        <f>BK15-AV15</f>
        <v>-90.839999999996508</v>
      </c>
      <c r="BN15" s="87" t="s">
        <v>115</v>
      </c>
      <c r="BO15" s="87" t="s">
        <v>115</v>
      </c>
      <c r="BP15" s="71">
        <v>73123.05</v>
      </c>
      <c r="BQ15" s="32">
        <f t="shared" si="10"/>
        <v>13.889999999999418</v>
      </c>
      <c r="BR15" s="32">
        <f t="shared" si="11"/>
        <v>-76.94999999999709</v>
      </c>
      <c r="BS15" s="87" t="s">
        <v>115</v>
      </c>
      <c r="BT15" s="87" t="s">
        <v>115</v>
      </c>
      <c r="BU15" s="33" t="s">
        <v>116</v>
      </c>
      <c r="BV15" s="34">
        <f t="shared" si="12"/>
        <v>-127.36532846714545</v>
      </c>
      <c r="BY15" s="82"/>
      <c r="BZ15" s="82"/>
      <c r="CC15" s="37"/>
      <c r="CD15" s="71">
        <v>71573.8</v>
      </c>
    </row>
    <row r="16" spans="1:82" s="77" customFormat="1" ht="18" hidden="1" customHeight="1" x14ac:dyDescent="0.25">
      <c r="A16" s="99" t="s">
        <v>58</v>
      </c>
      <c r="B16" s="100"/>
      <c r="C16" s="101"/>
      <c r="D16" s="43"/>
      <c r="E16" s="53"/>
      <c r="F16" s="68" t="s">
        <v>117</v>
      </c>
      <c r="G16" s="83">
        <v>0</v>
      </c>
      <c r="H16" s="83">
        <v>0</v>
      </c>
      <c r="I16" s="83">
        <v>0</v>
      </c>
      <c r="J16" s="70"/>
      <c r="K16" s="83">
        <v>0</v>
      </c>
      <c r="L16" s="83">
        <v>0</v>
      </c>
      <c r="M16" s="83">
        <f>L16</f>
        <v>0</v>
      </c>
      <c r="N16" s="83">
        <f>M16</f>
        <v>0</v>
      </c>
      <c r="O16" s="83"/>
      <c r="P16" s="83">
        <f>N16-I16</f>
        <v>0</v>
      </c>
      <c r="Q16" s="83"/>
      <c r="R16" s="83"/>
      <c r="S16" s="83"/>
      <c r="T16" s="83">
        <f t="shared" si="25"/>
        <v>0</v>
      </c>
      <c r="U16" s="83">
        <f t="shared" si="26"/>
        <v>0</v>
      </c>
      <c r="V16" s="83">
        <f t="shared" si="27"/>
        <v>0</v>
      </c>
      <c r="W16" s="84"/>
      <c r="X16" s="83"/>
      <c r="Y16" s="47">
        <f t="shared" si="4"/>
        <v>0</v>
      </c>
      <c r="Z16" s="85">
        <v>0</v>
      </c>
      <c r="AA16" s="29">
        <f>Z16-I16</f>
        <v>0</v>
      </c>
      <c r="AB16" s="29">
        <f>Z16-S16</f>
        <v>0</v>
      </c>
      <c r="AC16" s="72"/>
      <c r="AD16" s="72"/>
      <c r="AE16" s="72"/>
      <c r="AF16" s="72"/>
      <c r="AG16" s="72"/>
      <c r="AH16" s="85">
        <v>0</v>
      </c>
      <c r="AI16" s="85">
        <v>0</v>
      </c>
      <c r="AJ16" s="85">
        <f>AH16-Z16</f>
        <v>0</v>
      </c>
      <c r="AK16" s="86">
        <v>0</v>
      </c>
      <c r="AL16" s="85">
        <v>0</v>
      </c>
      <c r="AM16" s="74">
        <f t="shared" si="6"/>
        <v>0</v>
      </c>
      <c r="AN16" s="33">
        <f t="shared" si="7"/>
        <v>0</v>
      </c>
      <c r="AO16" s="75">
        <f t="shared" si="8"/>
        <v>0</v>
      </c>
      <c r="AQ16" s="85"/>
      <c r="AR16" s="85"/>
      <c r="AS16" s="85"/>
      <c r="AT16" s="86">
        <v>0</v>
      </c>
      <c r="AU16" s="71">
        <f>FLOOR(BD16,100)</f>
        <v>0</v>
      </c>
      <c r="AV16" s="71">
        <f>FLOOR(AT16,100)</f>
        <v>0</v>
      </c>
      <c r="AW16" s="71">
        <f>AV16-Z16</f>
        <v>0</v>
      </c>
      <c r="AX16" s="76">
        <f>AT16-Z16</f>
        <v>0</v>
      </c>
      <c r="AY16" s="76">
        <f>AT16-AL16</f>
        <v>0</v>
      </c>
      <c r="BE16" s="71">
        <v>0</v>
      </c>
      <c r="BF16" s="71"/>
      <c r="BG16" s="78">
        <f>BE16-AV16</f>
        <v>0</v>
      </c>
      <c r="BH16" s="71"/>
      <c r="BI16" s="78">
        <f>BF16-AV16</f>
        <v>0</v>
      </c>
      <c r="BJ16" s="78">
        <f>BF16-AU16</f>
        <v>0</v>
      </c>
      <c r="BK16" s="71"/>
      <c r="BL16" s="79">
        <f>BK16-BH16</f>
        <v>0</v>
      </c>
      <c r="BM16" s="79">
        <f>BK16-AV16</f>
        <v>0</v>
      </c>
      <c r="BN16" s="32"/>
      <c r="BO16" s="32"/>
      <c r="BP16" s="71"/>
      <c r="BQ16" s="32">
        <f t="shared" si="10"/>
        <v>0</v>
      </c>
      <c r="BR16" s="32">
        <f t="shared" si="11"/>
        <v>0</v>
      </c>
      <c r="BS16" s="32"/>
      <c r="BT16" s="32"/>
      <c r="BU16" s="33"/>
      <c r="BV16" s="34">
        <f t="shared" si="12"/>
        <v>0</v>
      </c>
      <c r="BY16" s="82"/>
      <c r="BZ16" s="82"/>
      <c r="CC16" s="37"/>
      <c r="CD16" s="71"/>
    </row>
    <row r="17" spans="1:83" s="35" customFormat="1" ht="18" customHeight="1" x14ac:dyDescent="0.25">
      <c r="A17" s="38" t="s">
        <v>58</v>
      </c>
      <c r="B17" s="39"/>
      <c r="C17" s="93"/>
      <c r="D17" s="43" t="s">
        <v>118</v>
      </c>
      <c r="E17" s="44"/>
      <c r="F17" s="45"/>
      <c r="G17" s="46">
        <f t="shared" ref="G17:Q17" si="34">G18</f>
        <v>191600</v>
      </c>
      <c r="H17" s="46">
        <f t="shared" si="34"/>
        <v>199800</v>
      </c>
      <c r="I17" s="46">
        <f t="shared" si="34"/>
        <v>201800</v>
      </c>
      <c r="J17" s="46">
        <f t="shared" si="34"/>
        <v>0</v>
      </c>
      <c r="K17" s="46">
        <f t="shared" si="34"/>
        <v>201912</v>
      </c>
      <c r="L17" s="46">
        <f t="shared" si="34"/>
        <v>101847.7</v>
      </c>
      <c r="M17" s="46">
        <f t="shared" si="34"/>
        <v>101847.7</v>
      </c>
      <c r="N17" s="46">
        <f t="shared" si="34"/>
        <v>203695.4</v>
      </c>
      <c r="O17" s="46">
        <f t="shared" si="34"/>
        <v>212153.15</v>
      </c>
      <c r="P17" s="46">
        <f t="shared" si="34"/>
        <v>1895.4</v>
      </c>
      <c r="Q17" s="46">
        <f t="shared" si="34"/>
        <v>154775.6</v>
      </c>
      <c r="R17" s="46"/>
      <c r="S17" s="46">
        <f>S18</f>
        <v>208791.57500000001</v>
      </c>
      <c r="T17" s="46">
        <f t="shared" si="25"/>
        <v>6991.5750000000116</v>
      </c>
      <c r="U17" s="46">
        <f t="shared" si="26"/>
        <v>6879.5750000000116</v>
      </c>
      <c r="V17" s="46">
        <f t="shared" si="27"/>
        <v>-3361.5749999999825</v>
      </c>
      <c r="W17" s="47"/>
      <c r="X17" s="46">
        <f>X18</f>
        <v>210899.51666666669</v>
      </c>
      <c r="Y17" s="47">
        <f t="shared" si="4"/>
        <v>2107.9416666666802</v>
      </c>
      <c r="Z17" s="48">
        <f t="shared" ref="Z17:AL17" si="35">Z18</f>
        <v>225862</v>
      </c>
      <c r="AA17" s="48">
        <f t="shared" si="35"/>
        <v>24062</v>
      </c>
      <c r="AB17" s="48">
        <f t="shared" si="35"/>
        <v>17070.424999999992</v>
      </c>
      <c r="AC17" s="48">
        <f t="shared" si="35"/>
        <v>0</v>
      </c>
      <c r="AD17" s="48">
        <f t="shared" si="35"/>
        <v>0</v>
      </c>
      <c r="AE17" s="48">
        <f t="shared" si="35"/>
        <v>0</v>
      </c>
      <c r="AF17" s="48">
        <f t="shared" si="35"/>
        <v>0</v>
      </c>
      <c r="AG17" s="48">
        <f t="shared" si="35"/>
        <v>0</v>
      </c>
      <c r="AH17" s="48">
        <f t="shared" si="35"/>
        <v>238746.65119760478</v>
      </c>
      <c r="AI17" s="48">
        <f t="shared" si="35"/>
        <v>237855.92956199462</v>
      </c>
      <c r="AJ17" s="48">
        <f t="shared" si="35"/>
        <v>12884.651197604791</v>
      </c>
      <c r="AK17" s="49">
        <f t="shared" si="35"/>
        <v>241998.36666666664</v>
      </c>
      <c r="AL17" s="48">
        <f t="shared" si="35"/>
        <v>244443.22909090907</v>
      </c>
      <c r="AM17" s="74">
        <f t="shared" si="6"/>
        <v>6587.2995289144455</v>
      </c>
      <c r="AN17" s="94">
        <f t="shared" si="7"/>
        <v>18581.229090909066</v>
      </c>
      <c r="AO17" s="95">
        <f t="shared" si="8"/>
        <v>11993.929561994621</v>
      </c>
      <c r="AQ17" s="48"/>
      <c r="AR17" s="48"/>
      <c r="AS17" s="48"/>
      <c r="AT17" s="49">
        <f t="shared" ref="AT17:BP17" si="36">AT18</f>
        <v>246340.04727272727</v>
      </c>
      <c r="AU17" s="48">
        <f t="shared" si="36"/>
        <v>244622.03000000003</v>
      </c>
      <c r="AV17" s="48">
        <f t="shared" si="36"/>
        <v>246100</v>
      </c>
      <c r="AW17" s="48">
        <f t="shared" si="36"/>
        <v>20238</v>
      </c>
      <c r="AX17" s="48">
        <f t="shared" si="36"/>
        <v>20478.047272727272</v>
      </c>
      <c r="AY17" s="48">
        <f t="shared" si="36"/>
        <v>1896.818181818182</v>
      </c>
      <c r="AZ17" s="48">
        <f t="shared" si="36"/>
        <v>0</v>
      </c>
      <c r="BA17" s="48">
        <f t="shared" si="36"/>
        <v>0</v>
      </c>
      <c r="BB17" s="48">
        <f t="shared" si="36"/>
        <v>0</v>
      </c>
      <c r="BC17" s="48">
        <f t="shared" si="36"/>
        <v>0</v>
      </c>
      <c r="BD17" s="48">
        <f t="shared" si="36"/>
        <v>0</v>
      </c>
      <c r="BE17" s="48">
        <f t="shared" si="36"/>
        <v>264880.64000000001</v>
      </c>
      <c r="BF17" s="48" t="e">
        <f t="shared" si="36"/>
        <v>#REF!</v>
      </c>
      <c r="BG17" s="48">
        <f t="shared" si="36"/>
        <v>18780.640000000032</v>
      </c>
      <c r="BH17" s="48">
        <f t="shared" si="36"/>
        <v>262906.07214111922</v>
      </c>
      <c r="BI17" s="48" t="e">
        <f t="shared" si="36"/>
        <v>#REF!</v>
      </c>
      <c r="BJ17" s="48" t="e">
        <f t="shared" si="36"/>
        <v>#REF!</v>
      </c>
      <c r="BK17" s="48">
        <f t="shared" si="36"/>
        <v>263997.28363636369</v>
      </c>
      <c r="BL17" s="48">
        <f t="shared" si="36"/>
        <v>1091.2114952444408</v>
      </c>
      <c r="BM17" s="48">
        <f t="shared" si="36"/>
        <v>17897.283636363649</v>
      </c>
      <c r="BN17" s="48">
        <f t="shared" si="36"/>
        <v>0</v>
      </c>
      <c r="BO17" s="48">
        <f t="shared" si="36"/>
        <v>0</v>
      </c>
      <c r="BP17" s="48">
        <f t="shared" si="36"/>
        <v>264144.75</v>
      </c>
      <c r="BQ17" s="32">
        <f t="shared" si="10"/>
        <v>147.46636363631114</v>
      </c>
      <c r="BR17" s="32">
        <f t="shared" si="11"/>
        <v>18044.75</v>
      </c>
      <c r="BS17" s="32"/>
      <c r="BT17" s="32"/>
      <c r="BU17" s="33"/>
      <c r="BV17" s="34">
        <f t="shared" si="12"/>
        <v>16806.072141119221</v>
      </c>
      <c r="BY17" s="36"/>
      <c r="BZ17" s="36"/>
      <c r="CC17" s="37"/>
      <c r="CD17" s="48">
        <f>CD18</f>
        <v>244622.03000000003</v>
      </c>
    </row>
    <row r="18" spans="1:83" s="63" customFormat="1" ht="18" customHeight="1" x14ac:dyDescent="0.25">
      <c r="A18" s="96" t="s">
        <v>58</v>
      </c>
      <c r="B18" s="97"/>
      <c r="C18" s="98"/>
      <c r="D18" s="44"/>
      <c r="E18" s="53" t="s">
        <v>118</v>
      </c>
      <c r="F18" s="54"/>
      <c r="G18" s="55">
        <f t="shared" ref="G18:Q18" si="37">SUM(G19:G23)</f>
        <v>191600</v>
      </c>
      <c r="H18" s="55">
        <f t="shared" si="37"/>
        <v>199800</v>
      </c>
      <c r="I18" s="55">
        <f t="shared" si="37"/>
        <v>201800</v>
      </c>
      <c r="J18" s="55">
        <f t="shared" si="37"/>
        <v>0</v>
      </c>
      <c r="K18" s="55">
        <f t="shared" si="37"/>
        <v>201912</v>
      </c>
      <c r="L18" s="55">
        <f t="shared" si="37"/>
        <v>101847.7</v>
      </c>
      <c r="M18" s="55">
        <f t="shared" si="37"/>
        <v>101847.7</v>
      </c>
      <c r="N18" s="55">
        <f t="shared" si="37"/>
        <v>203695.4</v>
      </c>
      <c r="O18" s="55">
        <f t="shared" si="37"/>
        <v>212153.15</v>
      </c>
      <c r="P18" s="55">
        <f t="shared" si="37"/>
        <v>1895.4</v>
      </c>
      <c r="Q18" s="55">
        <f t="shared" si="37"/>
        <v>154775.6</v>
      </c>
      <c r="R18" s="55"/>
      <c r="S18" s="55">
        <f>SUM(S19:S23)</f>
        <v>208791.57500000001</v>
      </c>
      <c r="T18" s="55">
        <f t="shared" si="25"/>
        <v>6991.5750000000116</v>
      </c>
      <c r="U18" s="55">
        <f t="shared" si="26"/>
        <v>6879.5750000000116</v>
      </c>
      <c r="V18" s="55">
        <f t="shared" si="27"/>
        <v>-3361.5749999999825</v>
      </c>
      <c r="W18" s="57"/>
      <c r="X18" s="55">
        <f>SUM(X19:X23)</f>
        <v>210899.51666666669</v>
      </c>
      <c r="Y18" s="88">
        <f t="shared" si="4"/>
        <v>2107.9416666666802</v>
      </c>
      <c r="Z18" s="33">
        <f t="shared" ref="Z18:AL18" si="38">SUM(Z19:Z23)</f>
        <v>225862</v>
      </c>
      <c r="AA18" s="33">
        <f t="shared" si="38"/>
        <v>24062</v>
      </c>
      <c r="AB18" s="33">
        <f t="shared" si="38"/>
        <v>17070.424999999992</v>
      </c>
      <c r="AC18" s="33">
        <f t="shared" si="38"/>
        <v>0</v>
      </c>
      <c r="AD18" s="33">
        <f t="shared" si="38"/>
        <v>0</v>
      </c>
      <c r="AE18" s="33">
        <f t="shared" si="38"/>
        <v>0</v>
      </c>
      <c r="AF18" s="33">
        <f t="shared" si="38"/>
        <v>0</v>
      </c>
      <c r="AG18" s="33">
        <f t="shared" si="38"/>
        <v>0</v>
      </c>
      <c r="AH18" s="33">
        <f t="shared" si="38"/>
        <v>238746.65119760478</v>
      </c>
      <c r="AI18" s="33">
        <f t="shared" si="38"/>
        <v>237855.92956199462</v>
      </c>
      <c r="AJ18" s="33">
        <f t="shared" si="38"/>
        <v>12884.651197604791</v>
      </c>
      <c r="AK18" s="60">
        <f t="shared" si="38"/>
        <v>241998.36666666664</v>
      </c>
      <c r="AL18" s="33">
        <f t="shared" si="38"/>
        <v>244443.22909090907</v>
      </c>
      <c r="AM18" s="74">
        <f t="shared" si="6"/>
        <v>6587.2995289144455</v>
      </c>
      <c r="AN18" s="33">
        <f t="shared" si="7"/>
        <v>18581.229090909066</v>
      </c>
      <c r="AO18" s="75">
        <f t="shared" si="8"/>
        <v>11993.929561994621</v>
      </c>
      <c r="AQ18" s="33"/>
      <c r="AR18" s="33"/>
      <c r="AS18" s="33"/>
      <c r="AT18" s="60">
        <f t="shared" ref="AT18:BP18" si="39">SUM(AT19:AT23)</f>
        <v>246340.04727272727</v>
      </c>
      <c r="AU18" s="33">
        <f t="shared" si="39"/>
        <v>244622.03000000003</v>
      </c>
      <c r="AV18" s="33">
        <f t="shared" si="39"/>
        <v>246100</v>
      </c>
      <c r="AW18" s="33">
        <f t="shared" si="39"/>
        <v>20238</v>
      </c>
      <c r="AX18" s="33">
        <f t="shared" si="39"/>
        <v>20478.047272727272</v>
      </c>
      <c r="AY18" s="33">
        <f t="shared" si="39"/>
        <v>1896.818181818182</v>
      </c>
      <c r="AZ18" s="33">
        <f t="shared" si="39"/>
        <v>0</v>
      </c>
      <c r="BA18" s="33">
        <f t="shared" si="39"/>
        <v>0</v>
      </c>
      <c r="BB18" s="33">
        <f t="shared" si="39"/>
        <v>0</v>
      </c>
      <c r="BC18" s="33">
        <f t="shared" si="39"/>
        <v>0</v>
      </c>
      <c r="BD18" s="33">
        <f t="shared" si="39"/>
        <v>0</v>
      </c>
      <c r="BE18" s="33">
        <f t="shared" si="39"/>
        <v>264880.64000000001</v>
      </c>
      <c r="BF18" s="33" t="e">
        <f t="shared" si="39"/>
        <v>#REF!</v>
      </c>
      <c r="BG18" s="33">
        <f t="shared" si="39"/>
        <v>18780.640000000032</v>
      </c>
      <c r="BH18" s="33">
        <f t="shared" si="39"/>
        <v>262906.07214111922</v>
      </c>
      <c r="BI18" s="33" t="e">
        <f t="shared" si="39"/>
        <v>#REF!</v>
      </c>
      <c r="BJ18" s="33" t="e">
        <f t="shared" si="39"/>
        <v>#REF!</v>
      </c>
      <c r="BK18" s="33">
        <f t="shared" si="39"/>
        <v>263997.28363636369</v>
      </c>
      <c r="BL18" s="33">
        <f t="shared" si="39"/>
        <v>1091.2114952444408</v>
      </c>
      <c r="BM18" s="33">
        <f t="shared" si="39"/>
        <v>17897.283636363649</v>
      </c>
      <c r="BN18" s="33">
        <f t="shared" si="39"/>
        <v>0</v>
      </c>
      <c r="BO18" s="33">
        <f t="shared" si="39"/>
        <v>0</v>
      </c>
      <c r="BP18" s="33">
        <f t="shared" si="39"/>
        <v>264144.75</v>
      </c>
      <c r="BQ18" s="32">
        <f t="shared" si="10"/>
        <v>147.46636363631114</v>
      </c>
      <c r="BR18" s="32">
        <f t="shared" si="11"/>
        <v>18044.75</v>
      </c>
      <c r="BS18" s="32"/>
      <c r="BT18" s="32"/>
      <c r="BU18" s="33"/>
      <c r="BV18" s="34">
        <f t="shared" si="12"/>
        <v>16806.072141119221</v>
      </c>
      <c r="BY18" s="64"/>
      <c r="BZ18" s="64"/>
      <c r="CC18" s="37"/>
      <c r="CD18" s="33">
        <f>SUM(CD19:CD23)</f>
        <v>244622.03000000003</v>
      </c>
    </row>
    <row r="19" spans="1:83" s="77" customFormat="1" ht="18" customHeight="1" x14ac:dyDescent="0.25">
      <c r="A19" s="99" t="s">
        <v>58</v>
      </c>
      <c r="B19" s="100"/>
      <c r="C19" s="101"/>
      <c r="D19" s="43"/>
      <c r="E19" s="53"/>
      <c r="F19" s="68" t="s">
        <v>119</v>
      </c>
      <c r="G19" s="83">
        <v>0</v>
      </c>
      <c r="H19" s="83">
        <v>0</v>
      </c>
      <c r="I19" s="83">
        <v>0</v>
      </c>
      <c r="J19" s="70" t="s">
        <v>120</v>
      </c>
      <c r="K19" s="83">
        <v>0</v>
      </c>
      <c r="L19" s="83">
        <v>187</v>
      </c>
      <c r="M19" s="83">
        <f>L19</f>
        <v>187</v>
      </c>
      <c r="N19" s="83">
        <f>M19*2</f>
        <v>374</v>
      </c>
      <c r="O19" s="83">
        <f>N19+(1*9.35*5*25)</f>
        <v>1542.75</v>
      </c>
      <c r="P19" s="83">
        <f>N19-I19</f>
        <v>374</v>
      </c>
      <c r="Q19" s="83">
        <v>705.5</v>
      </c>
      <c r="R19" s="83"/>
      <c r="S19" s="83">
        <f>Q19/4*7</f>
        <v>1234.625</v>
      </c>
      <c r="T19" s="83">
        <f t="shared" si="25"/>
        <v>1234.625</v>
      </c>
      <c r="U19" s="83">
        <f t="shared" si="26"/>
        <v>1234.625</v>
      </c>
      <c r="V19" s="83">
        <f t="shared" si="27"/>
        <v>-308.125</v>
      </c>
      <c r="W19" s="84"/>
      <c r="X19" s="83">
        <f>1632/6*7</f>
        <v>1904</v>
      </c>
      <c r="Y19" s="47">
        <f t="shared" si="4"/>
        <v>669.375</v>
      </c>
      <c r="Z19" s="85">
        <v>4862</v>
      </c>
      <c r="AA19" s="29">
        <f>Z19-I19</f>
        <v>4862</v>
      </c>
      <c r="AB19" s="29">
        <f>Z19-S19</f>
        <v>3627.375</v>
      </c>
      <c r="AC19" s="72"/>
      <c r="AD19" s="72"/>
      <c r="AE19" s="72"/>
      <c r="AF19" s="72"/>
      <c r="AG19" s="72"/>
      <c r="AH19" s="85">
        <f>9.35*2*5*52</f>
        <v>4862</v>
      </c>
      <c r="AI19" s="85">
        <f>4071.5/7*12</f>
        <v>6979.7142857142853</v>
      </c>
      <c r="AJ19" s="85">
        <f>AH19-Z19</f>
        <v>0</v>
      </c>
      <c r="AK19" s="86">
        <v>7416.5333333333328</v>
      </c>
      <c r="AL19" s="85">
        <f>6753.25/11*12</f>
        <v>7367.181818181818</v>
      </c>
      <c r="AM19" s="74">
        <f t="shared" si="6"/>
        <v>387.46753246753269</v>
      </c>
      <c r="AN19" s="33">
        <f t="shared" si="7"/>
        <v>2505.181818181818</v>
      </c>
      <c r="AO19" s="75">
        <f t="shared" si="8"/>
        <v>2117.7142857142853</v>
      </c>
      <c r="AQ19" s="90" t="s">
        <v>106</v>
      </c>
      <c r="AR19" s="90" t="s">
        <v>107</v>
      </c>
      <c r="AS19" s="90" t="s">
        <v>106</v>
      </c>
      <c r="AT19" s="86">
        <f>(805/11*12)*9.18</f>
        <v>8061.7090909090912</v>
      </c>
      <c r="AU19" s="71">
        <v>7191.85</v>
      </c>
      <c r="AV19" s="71">
        <f>FLOOR(AT19,100)</f>
        <v>8000</v>
      </c>
      <c r="AW19" s="71">
        <f>AV19-Z19</f>
        <v>3138</v>
      </c>
      <c r="AX19" s="76">
        <f>AT19-Z19</f>
        <v>3199.7090909090912</v>
      </c>
      <c r="AY19" s="76">
        <f>AT19-AL19</f>
        <v>694.52727272727316</v>
      </c>
      <c r="AZ19" s="77" t="s">
        <v>121</v>
      </c>
      <c r="BE19" s="71">
        <f>2264.71/3*12</f>
        <v>9058.84</v>
      </c>
      <c r="BF19" s="71">
        <f>6349.81/7*12</f>
        <v>10885.388571428572</v>
      </c>
      <c r="BG19" s="78">
        <f>BE19-AV19</f>
        <v>1058.8400000000001</v>
      </c>
      <c r="BH19" s="71">
        <v>11342.813333333335</v>
      </c>
      <c r="BI19" s="78">
        <f>BF19-AV19</f>
        <v>2885.3885714285716</v>
      </c>
      <c r="BJ19" s="78">
        <f>BF19-AU19</f>
        <v>3693.5385714285712</v>
      </c>
      <c r="BK19" s="71">
        <v>11619.883636363636</v>
      </c>
      <c r="BL19" s="79">
        <f>BK19-BH19</f>
        <v>277.07030303030115</v>
      </c>
      <c r="BM19" s="79">
        <f>BK19-AV19</f>
        <v>3619.8836363636365</v>
      </c>
      <c r="BN19" s="91" t="s">
        <v>108</v>
      </c>
      <c r="BO19" s="91" t="s">
        <v>109</v>
      </c>
      <c r="BP19" s="71">
        <v>11786.21</v>
      </c>
      <c r="BQ19" s="32">
        <f t="shared" si="10"/>
        <v>166.32636363636266</v>
      </c>
      <c r="BR19" s="32">
        <f t="shared" si="11"/>
        <v>3786.2099999999991</v>
      </c>
      <c r="BS19" s="92"/>
      <c r="BT19" s="91" t="s">
        <v>110</v>
      </c>
      <c r="BU19" s="102" t="s">
        <v>122</v>
      </c>
      <c r="BV19" s="34">
        <f t="shared" si="12"/>
        <v>3342.8133333333353</v>
      </c>
      <c r="BY19" s="82"/>
      <c r="BZ19" s="82"/>
      <c r="CC19" s="37"/>
      <c r="CD19" s="71">
        <v>7191.85</v>
      </c>
    </row>
    <row r="20" spans="1:83" s="77" customFormat="1" ht="18" customHeight="1" x14ac:dyDescent="0.25">
      <c r="A20" s="99" t="s">
        <v>58</v>
      </c>
      <c r="B20" s="100"/>
      <c r="C20" s="101"/>
      <c r="D20" s="43"/>
      <c r="E20" s="53"/>
      <c r="F20" s="68" t="s">
        <v>123</v>
      </c>
      <c r="G20" s="83">
        <v>16300</v>
      </c>
      <c r="H20" s="83">
        <v>21800</v>
      </c>
      <c r="I20" s="83">
        <v>21800</v>
      </c>
      <c r="J20" s="70" t="s">
        <v>124</v>
      </c>
      <c r="K20" s="83">
        <v>21840</v>
      </c>
      <c r="L20" s="83">
        <v>10920</v>
      </c>
      <c r="M20" s="83">
        <f>L20</f>
        <v>10920</v>
      </c>
      <c r="N20" s="83">
        <f>M20*2</f>
        <v>21840</v>
      </c>
      <c r="O20" s="83">
        <f>I20</f>
        <v>21800</v>
      </c>
      <c r="P20" s="83">
        <f>N20-I20</f>
        <v>40</v>
      </c>
      <c r="Q20" s="83">
        <v>16380</v>
      </c>
      <c r="R20" s="83"/>
      <c r="S20" s="83">
        <f>Q20+(1820*3)</f>
        <v>21840</v>
      </c>
      <c r="T20" s="83">
        <f t="shared" si="25"/>
        <v>40</v>
      </c>
      <c r="U20" s="83">
        <f t="shared" si="26"/>
        <v>0</v>
      </c>
      <c r="V20" s="83">
        <f t="shared" si="27"/>
        <v>40</v>
      </c>
      <c r="W20" s="84"/>
      <c r="X20" s="83">
        <f>20020+1820</f>
        <v>21840</v>
      </c>
      <c r="Y20" s="47">
        <f t="shared" si="4"/>
        <v>0</v>
      </c>
      <c r="Z20" s="85">
        <v>24024</v>
      </c>
      <c r="AA20" s="29">
        <f>Z20-I20</f>
        <v>2224</v>
      </c>
      <c r="AB20" s="29">
        <f>Z20-S20</f>
        <v>2184</v>
      </c>
      <c r="AC20" s="72" t="s">
        <v>125</v>
      </c>
      <c r="AD20" s="72"/>
      <c r="AE20" s="72"/>
      <c r="AF20" s="72"/>
      <c r="AG20" s="72"/>
      <c r="AH20" s="85">
        <v>24024</v>
      </c>
      <c r="AI20" s="85">
        <f>14014/7*12</f>
        <v>24024</v>
      </c>
      <c r="AJ20" s="85">
        <f>AH20-Z20</f>
        <v>0</v>
      </c>
      <c r="AK20" s="86">
        <v>24024</v>
      </c>
      <c r="AL20" s="85">
        <v>24024</v>
      </c>
      <c r="AM20" s="74">
        <f t="shared" si="6"/>
        <v>0</v>
      </c>
      <c r="AN20" s="33">
        <f t="shared" si="7"/>
        <v>0</v>
      </c>
      <c r="AO20" s="75">
        <f t="shared" si="8"/>
        <v>0</v>
      </c>
      <c r="AQ20" s="90" t="s">
        <v>106</v>
      </c>
      <c r="AR20" s="90" t="s">
        <v>107</v>
      </c>
      <c r="AS20" s="90" t="s">
        <v>106</v>
      </c>
      <c r="AT20" s="86">
        <f>AL20</f>
        <v>24024</v>
      </c>
      <c r="AU20" s="71">
        <v>24024</v>
      </c>
      <c r="AV20" s="71">
        <f>FLOOR(AT20,100)</f>
        <v>24000</v>
      </c>
      <c r="AW20" s="71">
        <f>AV20-Z20</f>
        <v>-24</v>
      </c>
      <c r="AX20" s="76">
        <f>AT20-Z20</f>
        <v>0</v>
      </c>
      <c r="AY20" s="76">
        <f>AT20-AL20</f>
        <v>0</v>
      </c>
      <c r="AZ20" s="77" t="s">
        <v>126</v>
      </c>
      <c r="BE20" s="71">
        <v>24000</v>
      </c>
      <c r="BF20" s="71">
        <v>24024</v>
      </c>
      <c r="BG20" s="78">
        <f>BE20-AV20</f>
        <v>0</v>
      </c>
      <c r="BH20" s="71">
        <f>BF20</f>
        <v>24024</v>
      </c>
      <c r="BI20" s="78">
        <f>BF20-AV20</f>
        <v>24</v>
      </c>
      <c r="BJ20" s="78">
        <f>BF20-AU20</f>
        <v>0</v>
      </c>
      <c r="BK20" s="71">
        <v>24024</v>
      </c>
      <c r="BL20" s="79">
        <f>BK20-BH20</f>
        <v>0</v>
      </c>
      <c r="BM20" s="79">
        <f>BK20-AV20</f>
        <v>24</v>
      </c>
      <c r="BN20" s="92"/>
      <c r="BO20" s="92"/>
      <c r="BP20" s="71">
        <v>24024</v>
      </c>
      <c r="BQ20" s="32">
        <f t="shared" si="10"/>
        <v>0</v>
      </c>
      <c r="BR20" s="32">
        <f t="shared" si="11"/>
        <v>24</v>
      </c>
      <c r="BS20" s="92"/>
      <c r="BT20" s="92"/>
      <c r="BU20" s="102"/>
      <c r="BV20" s="34">
        <f t="shared" si="12"/>
        <v>24</v>
      </c>
      <c r="BY20" s="82"/>
      <c r="BZ20" s="82"/>
      <c r="CC20" s="37"/>
      <c r="CD20" s="71">
        <v>24024</v>
      </c>
    </row>
    <row r="21" spans="1:83" s="77" customFormat="1" ht="18" customHeight="1" x14ac:dyDescent="0.25">
      <c r="A21" s="99" t="s">
        <v>58</v>
      </c>
      <c r="B21" s="100"/>
      <c r="C21" s="101"/>
      <c r="D21" s="43"/>
      <c r="E21" s="53"/>
      <c r="F21" s="68" t="s">
        <v>127</v>
      </c>
      <c r="G21" s="83">
        <v>0</v>
      </c>
      <c r="H21" s="83">
        <v>0</v>
      </c>
      <c r="I21" s="83">
        <v>0</v>
      </c>
      <c r="J21" s="70" t="s">
        <v>128</v>
      </c>
      <c r="K21" s="83">
        <v>0</v>
      </c>
      <c r="L21" s="83">
        <v>16.2</v>
      </c>
      <c r="M21" s="83">
        <f>L21</f>
        <v>16.2</v>
      </c>
      <c r="N21" s="83">
        <f>M21*2</f>
        <v>32.4</v>
      </c>
      <c r="O21" s="83">
        <f>N21</f>
        <v>32.4</v>
      </c>
      <c r="P21" s="83">
        <f>N21-I21</f>
        <v>32.4</v>
      </c>
      <c r="Q21" s="83">
        <v>16.2</v>
      </c>
      <c r="R21" s="83"/>
      <c r="S21" s="83">
        <f>Q21</f>
        <v>16.2</v>
      </c>
      <c r="T21" s="83">
        <f t="shared" si="25"/>
        <v>16.2</v>
      </c>
      <c r="U21" s="83">
        <f t="shared" si="26"/>
        <v>16.2</v>
      </c>
      <c r="V21" s="83">
        <f t="shared" si="27"/>
        <v>-16.2</v>
      </c>
      <c r="W21" s="84"/>
      <c r="X21" s="83">
        <f>16.2</f>
        <v>16.2</v>
      </c>
      <c r="Y21" s="47">
        <f t="shared" si="4"/>
        <v>0</v>
      </c>
      <c r="Z21" s="85">
        <v>0</v>
      </c>
      <c r="AA21" s="29">
        <f>Z21-I21</f>
        <v>0</v>
      </c>
      <c r="AB21" s="29">
        <f>Z21-S21</f>
        <v>-16.2</v>
      </c>
      <c r="AC21" s="72"/>
      <c r="AD21" s="72"/>
      <c r="AE21" s="72"/>
      <c r="AF21" s="72"/>
      <c r="AG21" s="72"/>
      <c r="AH21" s="85">
        <v>0</v>
      </c>
      <c r="AI21" s="85">
        <f>47/7*12</f>
        <v>80.571428571428569</v>
      </c>
      <c r="AJ21" s="85">
        <f>AH21-Z21</f>
        <v>0</v>
      </c>
      <c r="AK21" s="86">
        <v>127.46666666666667</v>
      </c>
      <c r="AL21" s="85">
        <f>111.8/11*12</f>
        <v>121.96363636363637</v>
      </c>
      <c r="AM21" s="74">
        <f t="shared" si="6"/>
        <v>41.392207792207799</v>
      </c>
      <c r="AN21" s="33">
        <f t="shared" si="7"/>
        <v>121.96363636363637</v>
      </c>
      <c r="AO21" s="75">
        <f t="shared" si="8"/>
        <v>80.571428571428569</v>
      </c>
      <c r="AQ21" s="90" t="s">
        <v>106</v>
      </c>
      <c r="AR21" s="90" t="s">
        <v>107</v>
      </c>
      <c r="AS21" s="90" t="s">
        <v>106</v>
      </c>
      <c r="AT21" s="86">
        <f>AL21</f>
        <v>121.96363636363637</v>
      </c>
      <c r="AU21" s="71">
        <v>128</v>
      </c>
      <c r="AV21" s="71">
        <f>FLOOR(AT21,100)</f>
        <v>100</v>
      </c>
      <c r="AW21" s="71">
        <f>AV21-Z21</f>
        <v>100</v>
      </c>
      <c r="AX21" s="76">
        <f>AT21-Z21</f>
        <v>121.96363636363637</v>
      </c>
      <c r="AY21" s="76">
        <f>AT21-AL21</f>
        <v>0</v>
      </c>
      <c r="AZ21" s="77" t="s">
        <v>129</v>
      </c>
      <c r="BE21" s="71">
        <v>100</v>
      </c>
      <c r="BF21" s="71">
        <f>48.6/7*12</f>
        <v>83.314285714285717</v>
      </c>
      <c r="BG21" s="78">
        <f>BE21-AV21</f>
        <v>0</v>
      </c>
      <c r="BH21" s="71">
        <v>86.399999999999991</v>
      </c>
      <c r="BI21" s="78">
        <f>BF21-AV21</f>
        <v>-16.685714285714283</v>
      </c>
      <c r="BJ21" s="78">
        <f>BF21-AU21</f>
        <v>-44.685714285714283</v>
      </c>
      <c r="BK21" s="71">
        <v>88.36363636363636</v>
      </c>
      <c r="BL21" s="79">
        <f>BK21-BH21</f>
        <v>1.9636363636363683</v>
      </c>
      <c r="BM21" s="79">
        <f>BK21-AV21</f>
        <v>-11.63636363636364</v>
      </c>
      <c r="BN21" s="91" t="s">
        <v>108</v>
      </c>
      <c r="BO21" s="91" t="s">
        <v>109</v>
      </c>
      <c r="BP21" s="71">
        <v>81</v>
      </c>
      <c r="BQ21" s="32">
        <f t="shared" si="10"/>
        <v>-7.3636363636363598</v>
      </c>
      <c r="BR21" s="32">
        <f t="shared" si="11"/>
        <v>-19</v>
      </c>
      <c r="BS21" s="92"/>
      <c r="BT21" s="91" t="s">
        <v>110</v>
      </c>
      <c r="BU21" s="33"/>
      <c r="BV21" s="34">
        <f t="shared" si="12"/>
        <v>-13.600000000000009</v>
      </c>
      <c r="BY21" s="82"/>
      <c r="BZ21" s="82"/>
      <c r="CC21" s="37"/>
      <c r="CD21" s="71">
        <v>128</v>
      </c>
    </row>
    <row r="22" spans="1:83" s="77" customFormat="1" ht="18" customHeight="1" x14ac:dyDescent="0.25">
      <c r="A22" s="99" t="s">
        <v>58</v>
      </c>
      <c r="B22" s="100"/>
      <c r="C22" s="101"/>
      <c r="D22" s="43"/>
      <c r="E22" s="53"/>
      <c r="F22" s="68" t="s">
        <v>130</v>
      </c>
      <c r="G22" s="83">
        <v>175300</v>
      </c>
      <c r="H22" s="83">
        <v>178000</v>
      </c>
      <c r="I22" s="83">
        <v>180000</v>
      </c>
      <c r="J22" s="70" t="s">
        <v>131</v>
      </c>
      <c r="K22" s="83">
        <v>180072</v>
      </c>
      <c r="L22" s="83">
        <v>89710.5</v>
      </c>
      <c r="M22" s="83">
        <f>L22</f>
        <v>89710.5</v>
      </c>
      <c r="N22" s="83">
        <f>M22*2</f>
        <v>179421</v>
      </c>
      <c r="O22" s="83">
        <f>I22</f>
        <v>180000</v>
      </c>
      <c r="P22" s="83">
        <f>N22-I22</f>
        <v>-579</v>
      </c>
      <c r="Q22" s="83">
        <v>133238.1</v>
      </c>
      <c r="R22" s="83"/>
      <c r="S22" s="83">
        <f>Q22+(13000*3)+(1900*3)</f>
        <v>177938.1</v>
      </c>
      <c r="T22" s="83">
        <f t="shared" si="25"/>
        <v>-2061.8999999999942</v>
      </c>
      <c r="U22" s="83">
        <f t="shared" si="26"/>
        <v>-2133.8999999999942</v>
      </c>
      <c r="V22" s="83">
        <f t="shared" si="27"/>
        <v>-2061.8999999999942</v>
      </c>
      <c r="W22" s="84"/>
      <c r="X22" s="83">
        <f>162508.5+13000+1130</f>
        <v>176638.5</v>
      </c>
      <c r="Y22" s="47">
        <f t="shared" si="4"/>
        <v>-1299.6000000000058</v>
      </c>
      <c r="Z22" s="85">
        <v>182936</v>
      </c>
      <c r="AA22" s="29">
        <f>Z22-I22</f>
        <v>2936</v>
      </c>
      <c r="AB22" s="29">
        <f>Z22-S22</f>
        <v>4997.8999999999942</v>
      </c>
      <c r="AC22" s="72" t="s">
        <v>132</v>
      </c>
      <c r="AD22" s="72"/>
      <c r="AE22" s="72"/>
      <c r="AF22" s="72"/>
      <c r="AG22" s="72"/>
      <c r="AH22" s="85">
        <f>161460+(59*1.4*5*52)</f>
        <v>182936</v>
      </c>
      <c r="AI22" s="85">
        <f>105736.88/7*12</f>
        <v>181263.22285714286</v>
      </c>
      <c r="AJ22" s="85">
        <f>AH22-Z22</f>
        <v>0</v>
      </c>
      <c r="AK22" s="86">
        <v>183470.90666666665</v>
      </c>
      <c r="AL22" s="85">
        <f>170548.01/11*12</f>
        <v>186052.37454545454</v>
      </c>
      <c r="AM22" s="74">
        <f t="shared" si="6"/>
        <v>4789.1516883116856</v>
      </c>
      <c r="AN22" s="33">
        <f t="shared" si="7"/>
        <v>3116.3745454545424</v>
      </c>
      <c r="AO22" s="75">
        <f t="shared" si="8"/>
        <v>-1672.7771428571432</v>
      </c>
      <c r="AQ22" s="90" t="s">
        <v>106</v>
      </c>
      <c r="AR22" s="90" t="s">
        <v>107</v>
      </c>
      <c r="AS22" s="90" t="s">
        <v>106</v>
      </c>
      <c r="AT22" s="86">
        <f>AL22</f>
        <v>186052.37454545454</v>
      </c>
      <c r="AU22" s="71">
        <v>186678.73</v>
      </c>
      <c r="AV22" s="71">
        <f>FLOOR(AT22,100)</f>
        <v>186000</v>
      </c>
      <c r="AW22" s="71">
        <f>AV22-Z22</f>
        <v>3064</v>
      </c>
      <c r="AX22" s="76">
        <f>AT22-Z22</f>
        <v>3116.3745454545424</v>
      </c>
      <c r="AY22" s="76">
        <f>AT22-AL22</f>
        <v>0</v>
      </c>
      <c r="AZ22" s="77" t="s">
        <v>129</v>
      </c>
      <c r="BE22" s="71">
        <f>49545.18/3*12</f>
        <v>198180.72000000003</v>
      </c>
      <c r="BF22" s="71">
        <f>109374.84/7*12</f>
        <v>187499.72571428571</v>
      </c>
      <c r="BG22" s="78">
        <f>BE22-AV22</f>
        <v>12180.72000000003</v>
      </c>
      <c r="BH22" s="71">
        <v>186875.09333333332</v>
      </c>
      <c r="BI22" s="78">
        <f>BF22-AV22</f>
        <v>1499.7257142857125</v>
      </c>
      <c r="BJ22" s="78">
        <f>BF22-AU22</f>
        <v>820.99571428570198</v>
      </c>
      <c r="BK22" s="71">
        <v>186253.98545454547</v>
      </c>
      <c r="BL22" s="79">
        <f>BK22-BH22</f>
        <v>-621.1078787878505</v>
      </c>
      <c r="BM22" s="79">
        <f>BK22-AV22</f>
        <v>253.98545454547275</v>
      </c>
      <c r="BN22" s="91" t="s">
        <v>108</v>
      </c>
      <c r="BO22" s="91" t="s">
        <v>109</v>
      </c>
      <c r="BP22" s="71">
        <v>185976.06</v>
      </c>
      <c r="BQ22" s="32">
        <f t="shared" si="10"/>
        <v>-277.92545454547508</v>
      </c>
      <c r="BR22" s="32">
        <f t="shared" si="11"/>
        <v>-23.940000000002328</v>
      </c>
      <c r="BS22" s="92"/>
      <c r="BT22" s="91" t="s">
        <v>110</v>
      </c>
      <c r="BU22" s="102" t="s">
        <v>122</v>
      </c>
      <c r="BV22" s="34">
        <f t="shared" si="12"/>
        <v>875.09333333332324</v>
      </c>
      <c r="BY22" s="82"/>
      <c r="BZ22" s="82"/>
      <c r="CC22" s="37"/>
      <c r="CD22" s="71">
        <v>186678.73</v>
      </c>
    </row>
    <row r="23" spans="1:83" s="77" customFormat="1" ht="18" customHeight="1" x14ac:dyDescent="0.25">
      <c r="A23" s="99"/>
      <c r="B23" s="100"/>
      <c r="C23" s="101"/>
      <c r="D23" s="43"/>
      <c r="E23" s="53"/>
      <c r="F23" s="68" t="s">
        <v>133</v>
      </c>
      <c r="G23" s="83">
        <v>0</v>
      </c>
      <c r="H23" s="83">
        <v>0</v>
      </c>
      <c r="I23" s="83">
        <v>0</v>
      </c>
      <c r="J23" s="70" t="s">
        <v>134</v>
      </c>
      <c r="K23" s="83">
        <v>0</v>
      </c>
      <c r="L23" s="83">
        <v>1014</v>
      </c>
      <c r="M23" s="83">
        <f>L23</f>
        <v>1014</v>
      </c>
      <c r="N23" s="83">
        <f>M23*2</f>
        <v>2028</v>
      </c>
      <c r="O23" s="83">
        <f>N23+(2*27*5*25)</f>
        <v>8778</v>
      </c>
      <c r="P23" s="83">
        <f>N23-I23</f>
        <v>2028</v>
      </c>
      <c r="Q23" s="83">
        <v>4435.8</v>
      </c>
      <c r="R23" s="83"/>
      <c r="S23" s="83">
        <f>Q23/4*7</f>
        <v>7762.6500000000005</v>
      </c>
      <c r="T23" s="83">
        <f t="shared" si="25"/>
        <v>7762.6500000000005</v>
      </c>
      <c r="U23" s="83">
        <f t="shared" si="26"/>
        <v>7762.6500000000005</v>
      </c>
      <c r="V23" s="83">
        <f t="shared" si="27"/>
        <v>-1015.3499999999995</v>
      </c>
      <c r="W23" s="84" t="s">
        <v>135</v>
      </c>
      <c r="X23" s="83">
        <f>9000.7/6*7</f>
        <v>10500.816666666668</v>
      </c>
      <c r="Y23" s="47">
        <f t="shared" si="4"/>
        <v>2738.166666666667</v>
      </c>
      <c r="Z23" s="85">
        <v>14040</v>
      </c>
      <c r="AA23" s="29">
        <f>Z23-I23</f>
        <v>14040</v>
      </c>
      <c r="AB23" s="29">
        <f>Z23-S23</f>
        <v>6277.3499999999995</v>
      </c>
      <c r="AC23" s="72"/>
      <c r="AD23" s="72"/>
      <c r="AE23" s="72"/>
      <c r="AF23" s="72"/>
      <c r="AG23" s="72"/>
      <c r="AH23" s="85">
        <f>'[3]Tariffa CD pagamento'!$C$14</f>
        <v>26924.651197604791</v>
      </c>
      <c r="AI23" s="85">
        <f>14815.85/212*365</f>
        <v>25508.420990566039</v>
      </c>
      <c r="AJ23" s="85">
        <f>AH23-Z23</f>
        <v>12884.651197604791</v>
      </c>
      <c r="AK23" s="86">
        <v>26959.46</v>
      </c>
      <c r="AL23" s="85">
        <f>24637.9/11*12</f>
        <v>26877.709090909091</v>
      </c>
      <c r="AM23" s="74">
        <f t="shared" si="6"/>
        <v>1369.2881003430521</v>
      </c>
      <c r="AN23" s="33">
        <f t="shared" si="7"/>
        <v>12837.709090909091</v>
      </c>
      <c r="AO23" s="75">
        <f t="shared" si="8"/>
        <v>11468.420990566039</v>
      </c>
      <c r="AP23" s="72">
        <f>AJ23</f>
        <v>12884.651197604791</v>
      </c>
      <c r="AQ23" s="85" t="s">
        <v>136</v>
      </c>
      <c r="AR23" s="85" t="s">
        <v>136</v>
      </c>
      <c r="AS23" s="85" t="s">
        <v>136</v>
      </c>
      <c r="AT23" s="86">
        <f>27*4*52*5</f>
        <v>28080</v>
      </c>
      <c r="AU23" s="71">
        <v>26599.45</v>
      </c>
      <c r="AV23" s="71">
        <f>FLOOR(AT23,100)</f>
        <v>28000</v>
      </c>
      <c r="AW23" s="71">
        <f>AV23-Z23</f>
        <v>13960</v>
      </c>
      <c r="AX23" s="76">
        <f>AT23-Z23</f>
        <v>14040</v>
      </c>
      <c r="AY23" s="76">
        <f>AT23-AL23</f>
        <v>1202.2909090909088</v>
      </c>
      <c r="AZ23" s="77" t="s">
        <v>137</v>
      </c>
      <c r="BE23" s="71">
        <v>33541.08</v>
      </c>
      <c r="BF23" s="71" t="e">
        <f>22655.81/#REF!*366</f>
        <v>#REF!</v>
      </c>
      <c r="BG23" s="78">
        <f>BE23-AV23</f>
        <v>5541.0800000000017</v>
      </c>
      <c r="BH23" s="71">
        <v>40577.76547445255</v>
      </c>
      <c r="BI23" s="78" t="e">
        <f>BF23-AV23</f>
        <v>#REF!</v>
      </c>
      <c r="BJ23" s="78" t="e">
        <f>BF23-AU23</f>
        <v>#REF!</v>
      </c>
      <c r="BK23" s="71">
        <v>42011.050909090904</v>
      </c>
      <c r="BL23" s="79">
        <f>BK23-BH23</f>
        <v>1433.2854346383538</v>
      </c>
      <c r="BM23" s="79">
        <f>BK23-AV23</f>
        <v>14011.050909090904</v>
      </c>
      <c r="BN23" s="91" t="s">
        <v>138</v>
      </c>
      <c r="BO23" s="91" t="s">
        <v>109</v>
      </c>
      <c r="BP23" s="71">
        <v>42277.48</v>
      </c>
      <c r="BQ23" s="32">
        <f t="shared" si="10"/>
        <v>266.42909090909961</v>
      </c>
      <c r="BR23" s="32">
        <f t="shared" si="11"/>
        <v>14277.480000000003</v>
      </c>
      <c r="BS23" s="92"/>
      <c r="BT23" s="91" t="s">
        <v>139</v>
      </c>
      <c r="BU23" s="33" t="s">
        <v>140</v>
      </c>
      <c r="BV23" s="34">
        <f t="shared" si="12"/>
        <v>12577.76547445255</v>
      </c>
      <c r="BY23" s="82"/>
      <c r="BZ23" s="82"/>
      <c r="CC23" s="37"/>
      <c r="CD23" s="71">
        <v>26599.45</v>
      </c>
    </row>
    <row r="24" spans="1:83" s="35" customFormat="1" ht="18" customHeight="1" x14ac:dyDescent="0.25">
      <c r="A24" s="38" t="s">
        <v>58</v>
      </c>
      <c r="B24" s="39"/>
      <c r="C24" s="93"/>
      <c r="D24" s="43" t="s">
        <v>141</v>
      </c>
      <c r="E24" s="44"/>
      <c r="F24" s="45"/>
      <c r="G24" s="46">
        <f t="shared" ref="G24:Q24" si="40">G25+G30</f>
        <v>34400</v>
      </c>
      <c r="H24" s="46">
        <f t="shared" si="40"/>
        <v>4300</v>
      </c>
      <c r="I24" s="46">
        <f t="shared" si="40"/>
        <v>24400</v>
      </c>
      <c r="J24" s="46">
        <f t="shared" si="40"/>
        <v>0</v>
      </c>
      <c r="K24" s="46">
        <f t="shared" si="40"/>
        <v>4752.1000000000004</v>
      </c>
      <c r="L24" s="46">
        <f t="shared" si="40"/>
        <v>7686.1900000000005</v>
      </c>
      <c r="M24" s="46">
        <f t="shared" si="40"/>
        <v>7686.1900000000005</v>
      </c>
      <c r="N24" s="46">
        <f t="shared" si="40"/>
        <v>21069.760000000002</v>
      </c>
      <c r="O24" s="46">
        <f t="shared" si="40"/>
        <v>21069.760000000002</v>
      </c>
      <c r="P24" s="46">
        <f t="shared" si="40"/>
        <v>-3330.24</v>
      </c>
      <c r="Q24" s="46">
        <f t="shared" si="40"/>
        <v>17138.13</v>
      </c>
      <c r="R24" s="46"/>
      <c r="S24" s="46">
        <f>S25+S30</f>
        <v>24227.104121212124</v>
      </c>
      <c r="T24" s="46">
        <f t="shared" si="25"/>
        <v>-172.89587878787643</v>
      </c>
      <c r="U24" s="46">
        <f t="shared" si="26"/>
        <v>19475.004121212121</v>
      </c>
      <c r="V24" s="46">
        <f t="shared" si="27"/>
        <v>3157.3441212121215</v>
      </c>
      <c r="W24" s="47"/>
      <c r="X24" s="46">
        <f>X25+X30</f>
        <v>24246.411363636362</v>
      </c>
      <c r="Y24" s="47">
        <f t="shared" si="4"/>
        <v>19.307242424238211</v>
      </c>
      <c r="Z24" s="48">
        <f t="shared" ref="Z24:AL24" si="41">Z25+Z30</f>
        <v>29265</v>
      </c>
      <c r="AA24" s="48">
        <f t="shared" si="41"/>
        <v>4865</v>
      </c>
      <c r="AB24" s="48">
        <f t="shared" si="41"/>
        <v>5037.8958787878782</v>
      </c>
      <c r="AC24" s="48">
        <f t="shared" si="41"/>
        <v>0</v>
      </c>
      <c r="AD24" s="48">
        <f t="shared" si="41"/>
        <v>0</v>
      </c>
      <c r="AE24" s="48">
        <f t="shared" si="41"/>
        <v>0</v>
      </c>
      <c r="AF24" s="48">
        <f t="shared" si="41"/>
        <v>0</v>
      </c>
      <c r="AG24" s="48">
        <f t="shared" si="41"/>
        <v>0</v>
      </c>
      <c r="AH24" s="48">
        <f t="shared" si="41"/>
        <v>29571.631586826348</v>
      </c>
      <c r="AI24" s="48">
        <f t="shared" si="41"/>
        <v>31186.280370619948</v>
      </c>
      <c r="AJ24" s="48">
        <f t="shared" si="41"/>
        <v>306.63158682634639</v>
      </c>
      <c r="AK24" s="49">
        <f t="shared" si="41"/>
        <v>31347.044999999998</v>
      </c>
      <c r="AL24" s="48">
        <f t="shared" si="41"/>
        <v>32234.083636363634</v>
      </c>
      <c r="AM24" s="74">
        <f t="shared" si="6"/>
        <v>1047.8032657436852</v>
      </c>
      <c r="AN24" s="94">
        <f t="shared" si="7"/>
        <v>2969.0836363636336</v>
      </c>
      <c r="AO24" s="95">
        <f t="shared" si="8"/>
        <v>1921.2803706199484</v>
      </c>
      <c r="AQ24" s="48"/>
      <c r="AR24" s="48"/>
      <c r="AS24" s="48"/>
      <c r="AT24" s="49">
        <f t="shared" ref="AT24:BP24" si="42">AT25+AT30</f>
        <v>34385.778181818183</v>
      </c>
      <c r="AU24" s="48">
        <f t="shared" si="42"/>
        <v>31574.92</v>
      </c>
      <c r="AV24" s="48">
        <f t="shared" si="42"/>
        <v>34200</v>
      </c>
      <c r="AW24" s="48">
        <f t="shared" si="42"/>
        <v>4935</v>
      </c>
      <c r="AX24" s="48">
        <f t="shared" si="42"/>
        <v>5120.7781818181847</v>
      </c>
      <c r="AY24" s="48">
        <f t="shared" si="42"/>
        <v>2151.6945454545503</v>
      </c>
      <c r="AZ24" s="48">
        <f t="shared" si="42"/>
        <v>0</v>
      </c>
      <c r="BA24" s="48">
        <f t="shared" si="42"/>
        <v>0</v>
      </c>
      <c r="BB24" s="48">
        <f t="shared" si="42"/>
        <v>0</v>
      </c>
      <c r="BC24" s="48">
        <f t="shared" si="42"/>
        <v>0</v>
      </c>
      <c r="BD24" s="48">
        <f t="shared" si="42"/>
        <v>0</v>
      </c>
      <c r="BE24" s="48">
        <f t="shared" si="42"/>
        <v>34695.729999999996</v>
      </c>
      <c r="BF24" s="48">
        <f t="shared" si="42"/>
        <v>33880.028571428571</v>
      </c>
      <c r="BG24" s="48">
        <f t="shared" si="42"/>
        <v>495.72999999999865</v>
      </c>
      <c r="BH24" s="48">
        <f t="shared" si="42"/>
        <v>32554.626861313871</v>
      </c>
      <c r="BI24" s="48">
        <f t="shared" si="42"/>
        <v>-319.9714285714299</v>
      </c>
      <c r="BJ24" s="48">
        <f t="shared" si="42"/>
        <v>2305.10857142857</v>
      </c>
      <c r="BK24" s="48">
        <f t="shared" si="42"/>
        <v>33087.098181818183</v>
      </c>
      <c r="BL24" s="48">
        <f t="shared" si="42"/>
        <v>532.47132050431196</v>
      </c>
      <c r="BM24" s="48">
        <f t="shared" si="42"/>
        <v>-1112.901818181819</v>
      </c>
      <c r="BN24" s="48">
        <f t="shared" si="42"/>
        <v>0</v>
      </c>
      <c r="BO24" s="48">
        <f t="shared" si="42"/>
        <v>0</v>
      </c>
      <c r="BP24" s="48">
        <f t="shared" si="42"/>
        <v>32656.59</v>
      </c>
      <c r="BQ24" s="32">
        <f t="shared" si="10"/>
        <v>-430.50818181818249</v>
      </c>
      <c r="BR24" s="32">
        <f t="shared" si="11"/>
        <v>-1543.4099999999999</v>
      </c>
      <c r="BS24" s="32"/>
      <c r="BT24" s="32"/>
      <c r="BU24" s="33"/>
      <c r="BV24" s="34">
        <f t="shared" si="12"/>
        <v>-1645.3731386861291</v>
      </c>
      <c r="BY24" s="36"/>
      <c r="BZ24" s="36"/>
      <c r="CC24" s="37"/>
      <c r="CD24" s="48">
        <f>CD25+CD30</f>
        <v>31574.92</v>
      </c>
    </row>
    <row r="25" spans="1:83" s="63" customFormat="1" ht="18" customHeight="1" x14ac:dyDescent="0.25">
      <c r="A25" s="96" t="s">
        <v>58</v>
      </c>
      <c r="B25" s="97"/>
      <c r="C25" s="98"/>
      <c r="D25" s="44"/>
      <c r="E25" s="53" t="s">
        <v>142</v>
      </c>
      <c r="F25" s="54"/>
      <c r="G25" s="55">
        <f t="shared" ref="G25:Q25" si="43">SUM(G26:G29)</f>
        <v>30900</v>
      </c>
      <c r="H25" s="55">
        <f t="shared" si="43"/>
        <v>0</v>
      </c>
      <c r="I25" s="55">
        <f t="shared" si="43"/>
        <v>22800</v>
      </c>
      <c r="J25" s="55">
        <f t="shared" si="43"/>
        <v>0</v>
      </c>
      <c r="K25" s="55">
        <f t="shared" si="43"/>
        <v>0</v>
      </c>
      <c r="L25" s="55">
        <f t="shared" si="43"/>
        <v>4225.6900000000005</v>
      </c>
      <c r="M25" s="55">
        <f t="shared" si="43"/>
        <v>4225.6900000000005</v>
      </c>
      <c r="N25" s="55">
        <f t="shared" si="43"/>
        <v>14148.76</v>
      </c>
      <c r="O25" s="55">
        <f t="shared" si="43"/>
        <v>14148.76</v>
      </c>
      <c r="P25" s="55">
        <f t="shared" si="43"/>
        <v>-8651.24</v>
      </c>
      <c r="Q25" s="55">
        <f t="shared" si="43"/>
        <v>11323.32</v>
      </c>
      <c r="R25" s="55"/>
      <c r="S25" s="55">
        <f>SUM(S26:S29)</f>
        <v>17794.157454545457</v>
      </c>
      <c r="T25" s="55">
        <f t="shared" si="25"/>
        <v>-5005.8425454545431</v>
      </c>
      <c r="U25" s="55">
        <f t="shared" si="26"/>
        <v>17794.157454545457</v>
      </c>
      <c r="V25" s="55">
        <f t="shared" si="27"/>
        <v>3645.3974545454566</v>
      </c>
      <c r="W25" s="57"/>
      <c r="X25" s="55">
        <f>SUM(X26:X29)</f>
        <v>17768.114999999998</v>
      </c>
      <c r="Y25" s="88">
        <f t="shared" si="4"/>
        <v>-26.042454545458895</v>
      </c>
      <c r="Z25" s="33">
        <f t="shared" ref="Z25:AL25" si="44">SUM(Z26:Z29)</f>
        <v>25201</v>
      </c>
      <c r="AA25" s="33">
        <f t="shared" si="44"/>
        <v>2401</v>
      </c>
      <c r="AB25" s="33">
        <f t="shared" si="44"/>
        <v>7406.842545454545</v>
      </c>
      <c r="AC25" s="33">
        <f t="shared" si="44"/>
        <v>0</v>
      </c>
      <c r="AD25" s="33">
        <f t="shared" si="44"/>
        <v>0</v>
      </c>
      <c r="AE25" s="33">
        <f t="shared" si="44"/>
        <v>0</v>
      </c>
      <c r="AF25" s="33">
        <f t="shared" si="44"/>
        <v>0</v>
      </c>
      <c r="AG25" s="33">
        <f t="shared" si="44"/>
        <v>0</v>
      </c>
      <c r="AH25" s="33">
        <f t="shared" si="44"/>
        <v>25507.631586826348</v>
      </c>
      <c r="AI25" s="33">
        <f t="shared" si="44"/>
        <v>26719.686084905661</v>
      </c>
      <c r="AJ25" s="33">
        <f t="shared" si="44"/>
        <v>306.63158682634639</v>
      </c>
      <c r="AK25" s="60">
        <f t="shared" si="44"/>
        <v>26976.325000000001</v>
      </c>
      <c r="AL25" s="33">
        <f t="shared" si="44"/>
        <v>27566.909999999996</v>
      </c>
      <c r="AM25" s="74">
        <f t="shared" si="6"/>
        <v>847.2239150943351</v>
      </c>
      <c r="AN25" s="33">
        <f t="shared" si="7"/>
        <v>2365.9099999999962</v>
      </c>
      <c r="AO25" s="75">
        <f t="shared" si="8"/>
        <v>1518.6860849056611</v>
      </c>
      <c r="AQ25" s="33"/>
      <c r="AR25" s="33"/>
      <c r="AS25" s="33"/>
      <c r="AT25" s="60">
        <f t="shared" ref="AT25:BP25" si="45">SUM(AT26:AT29)</f>
        <v>29537.654545454548</v>
      </c>
      <c r="AU25" s="33">
        <f t="shared" si="45"/>
        <v>26876.25</v>
      </c>
      <c r="AV25" s="33">
        <f t="shared" si="45"/>
        <v>29400</v>
      </c>
      <c r="AW25" s="33">
        <f t="shared" si="45"/>
        <v>4199</v>
      </c>
      <c r="AX25" s="33">
        <f t="shared" si="45"/>
        <v>4336.6545454545485</v>
      </c>
      <c r="AY25" s="33">
        <f t="shared" si="45"/>
        <v>1970.74454545455</v>
      </c>
      <c r="AZ25" s="33">
        <f t="shared" si="45"/>
        <v>0</v>
      </c>
      <c r="BA25" s="33">
        <f t="shared" si="45"/>
        <v>0</v>
      </c>
      <c r="BB25" s="33">
        <f t="shared" si="45"/>
        <v>0</v>
      </c>
      <c r="BC25" s="33">
        <f t="shared" si="45"/>
        <v>0</v>
      </c>
      <c r="BD25" s="33">
        <f t="shared" si="45"/>
        <v>0</v>
      </c>
      <c r="BE25" s="33">
        <f t="shared" si="45"/>
        <v>29895.73</v>
      </c>
      <c r="BF25" s="33">
        <f t="shared" si="45"/>
        <v>29519.96571428571</v>
      </c>
      <c r="BG25" s="33">
        <f t="shared" si="45"/>
        <v>495.72999999999865</v>
      </c>
      <c r="BH25" s="33">
        <f t="shared" si="45"/>
        <v>28151.74686131387</v>
      </c>
      <c r="BI25" s="33">
        <f t="shared" si="45"/>
        <v>119.96571428571224</v>
      </c>
      <c r="BJ25" s="33">
        <f t="shared" si="45"/>
        <v>2643.7157142857122</v>
      </c>
      <c r="BK25" s="33">
        <f t="shared" si="45"/>
        <v>28333.003636363639</v>
      </c>
      <c r="BL25" s="33">
        <f t="shared" si="45"/>
        <v>181.25677504976647</v>
      </c>
      <c r="BM25" s="33">
        <f t="shared" si="45"/>
        <v>-1066.9963636363645</v>
      </c>
      <c r="BN25" s="33">
        <f t="shared" si="45"/>
        <v>0</v>
      </c>
      <c r="BO25" s="33">
        <f t="shared" si="45"/>
        <v>0</v>
      </c>
      <c r="BP25" s="33">
        <f t="shared" si="45"/>
        <v>27795.34</v>
      </c>
      <c r="BQ25" s="32">
        <f t="shared" si="10"/>
        <v>-537.66363636363894</v>
      </c>
      <c r="BR25" s="32">
        <f t="shared" si="11"/>
        <v>-1604.6599999999999</v>
      </c>
      <c r="BS25" s="32"/>
      <c r="BT25" s="32"/>
      <c r="BU25" s="33"/>
      <c r="BV25" s="34">
        <f t="shared" si="12"/>
        <v>-1248.2531386861301</v>
      </c>
      <c r="BY25" s="64"/>
      <c r="BZ25" s="64"/>
      <c r="CC25" s="37"/>
      <c r="CD25" s="33">
        <f>SUM(CD26:CD29)</f>
        <v>26876.25</v>
      </c>
    </row>
    <row r="26" spans="1:83" s="77" customFormat="1" ht="18" customHeight="1" x14ac:dyDescent="0.25">
      <c r="A26" s="99" t="s">
        <v>58</v>
      </c>
      <c r="B26" s="100"/>
      <c r="C26" s="101"/>
      <c r="D26" s="43"/>
      <c r="E26" s="53"/>
      <c r="F26" s="68" t="s">
        <v>143</v>
      </c>
      <c r="G26" s="83">
        <v>15000</v>
      </c>
      <c r="H26" s="83">
        <v>0</v>
      </c>
      <c r="I26" s="83">
        <v>22800</v>
      </c>
      <c r="J26" s="70" t="s">
        <v>144</v>
      </c>
      <c r="K26" s="83"/>
      <c r="L26" s="83">
        <v>2754</v>
      </c>
      <c r="M26" s="83">
        <f>L26</f>
        <v>2754</v>
      </c>
      <c r="N26" s="83">
        <f>M26*3</f>
        <v>8262</v>
      </c>
      <c r="O26" s="83">
        <f>N26</f>
        <v>8262</v>
      </c>
      <c r="P26" s="83">
        <f>N26-I26</f>
        <v>-14538</v>
      </c>
      <c r="Q26" s="83">
        <v>5924.5</v>
      </c>
      <c r="R26" s="83"/>
      <c r="S26" s="83">
        <f>Q26/5.5*8.5</f>
        <v>9156.0454545454559</v>
      </c>
      <c r="T26" s="83">
        <f t="shared" si="25"/>
        <v>-13643.954545454544</v>
      </c>
      <c r="U26" s="83">
        <f t="shared" si="26"/>
        <v>9156.0454545454559</v>
      </c>
      <c r="V26" s="83">
        <f t="shared" si="27"/>
        <v>894.04545454545587</v>
      </c>
      <c r="W26" s="84"/>
      <c r="X26" s="83">
        <f>7735/8*9</f>
        <v>8701.875</v>
      </c>
      <c r="Y26" s="47">
        <f t="shared" si="4"/>
        <v>-454.17045454545587</v>
      </c>
      <c r="Z26" s="85">
        <v>11602</v>
      </c>
      <c r="AA26" s="29">
        <f>Z26-I26</f>
        <v>-11198</v>
      </c>
      <c r="AB26" s="29">
        <f>Z26-S26</f>
        <v>2445.9545454545441</v>
      </c>
      <c r="AC26" s="72" t="s">
        <v>145</v>
      </c>
      <c r="AD26" s="72"/>
      <c r="AE26" s="72"/>
      <c r="AF26" s="72"/>
      <c r="AG26" s="72"/>
      <c r="AH26" s="85">
        <f>'[3]Tariffa pasti Comunità'!$C$14</f>
        <v>8917.3652694610773</v>
      </c>
      <c r="AI26" s="85">
        <f>4981/212*365</f>
        <v>8575.7783018867922</v>
      </c>
      <c r="AJ26" s="85">
        <f>AH26-Z26</f>
        <v>-2684.6347305389227</v>
      </c>
      <c r="AK26" s="86">
        <v>8727.91</v>
      </c>
      <c r="AL26" s="85">
        <f>8160/11*12</f>
        <v>8901.818181818182</v>
      </c>
      <c r="AM26" s="74">
        <f t="shared" si="6"/>
        <v>326.03987993138981</v>
      </c>
      <c r="AN26" s="33">
        <f t="shared" si="7"/>
        <v>-2700.181818181818</v>
      </c>
      <c r="AO26" s="75">
        <f t="shared" si="8"/>
        <v>-3026.2216981132078</v>
      </c>
      <c r="AP26" s="72">
        <f>AJ26</f>
        <v>-2684.6347305389227</v>
      </c>
      <c r="AQ26" s="85" t="s">
        <v>136</v>
      </c>
      <c r="AR26" s="85" t="s">
        <v>136</v>
      </c>
      <c r="AS26" s="85" t="s">
        <v>136</v>
      </c>
      <c r="AT26" s="86">
        <f>(960/11*12)*9.18</f>
        <v>9613.9636363636364</v>
      </c>
      <c r="AU26" s="71">
        <v>8857</v>
      </c>
      <c r="AV26" s="71">
        <f>FLOOR(AT26,100)</f>
        <v>9600</v>
      </c>
      <c r="AW26" s="71">
        <f>AV26-Z26</f>
        <v>-2002</v>
      </c>
      <c r="AX26" s="76">
        <f>AT26-Z26</f>
        <v>-1988.0363636363636</v>
      </c>
      <c r="AY26" s="76">
        <f>AT26-AL26</f>
        <v>712.14545454545441</v>
      </c>
      <c r="AZ26" s="77" t="s">
        <v>121</v>
      </c>
      <c r="BE26" s="71">
        <v>14288.72</v>
      </c>
      <c r="BF26" s="71">
        <f>8867.88/7*12</f>
        <v>15202.079999999998</v>
      </c>
      <c r="BG26" s="78">
        <f>BE26-AV26</f>
        <v>4688.7199999999993</v>
      </c>
      <c r="BH26" s="71">
        <v>14714.80291970803</v>
      </c>
      <c r="BI26" s="78">
        <f>BF26-AV26</f>
        <v>5602.0799999999981</v>
      </c>
      <c r="BJ26" s="78">
        <f>BF26-AU26</f>
        <v>6345.0799999999981</v>
      </c>
      <c r="BK26" s="71">
        <f>13109.04/11*12</f>
        <v>14300.770909090908</v>
      </c>
      <c r="BL26" s="79">
        <f>BK26-BH26</f>
        <v>-414.03201061712207</v>
      </c>
      <c r="BM26" s="79">
        <f>BK26-AV26</f>
        <v>4700.7709090909084</v>
      </c>
      <c r="BN26" s="91" t="s">
        <v>140</v>
      </c>
      <c r="BO26" s="91" t="s">
        <v>109</v>
      </c>
      <c r="BP26" s="71">
        <v>14219.82</v>
      </c>
      <c r="BQ26" s="32">
        <f t="shared" si="10"/>
        <v>-80.950909090908681</v>
      </c>
      <c r="BR26" s="32">
        <f t="shared" si="11"/>
        <v>4619.82</v>
      </c>
      <c r="BS26" s="91" t="s">
        <v>146</v>
      </c>
      <c r="BT26" s="91" t="s">
        <v>110</v>
      </c>
      <c r="BU26" s="33" t="s">
        <v>140</v>
      </c>
      <c r="BV26" s="34">
        <f t="shared" si="12"/>
        <v>5114.8029197080305</v>
      </c>
      <c r="BY26" s="82"/>
      <c r="BZ26" s="82"/>
      <c r="CC26" s="37"/>
      <c r="CD26" s="71">
        <v>8857</v>
      </c>
      <c r="CE26" s="82"/>
    </row>
    <row r="27" spans="1:83" s="77" customFormat="1" ht="18" hidden="1" customHeight="1" x14ac:dyDescent="0.25">
      <c r="A27" s="99" t="s">
        <v>58</v>
      </c>
      <c r="B27" s="100"/>
      <c r="C27" s="101"/>
      <c r="D27" s="43"/>
      <c r="E27" s="53"/>
      <c r="F27" s="68" t="s">
        <v>147</v>
      </c>
      <c r="G27" s="83">
        <v>12600</v>
      </c>
      <c r="H27" s="83">
        <v>0</v>
      </c>
      <c r="I27" s="83">
        <v>0</v>
      </c>
      <c r="J27" s="70"/>
      <c r="K27" s="83">
        <v>0</v>
      </c>
      <c r="L27" s="83"/>
      <c r="M27" s="83">
        <f>L27</f>
        <v>0</v>
      </c>
      <c r="N27" s="83">
        <f>M27</f>
        <v>0</v>
      </c>
      <c r="O27" s="83"/>
      <c r="P27" s="83">
        <f>N27-I27</f>
        <v>0</v>
      </c>
      <c r="Q27" s="83"/>
      <c r="R27" s="83"/>
      <c r="S27" s="83"/>
      <c r="T27" s="83">
        <f t="shared" si="25"/>
        <v>0</v>
      </c>
      <c r="U27" s="83">
        <f t="shared" si="26"/>
        <v>0</v>
      </c>
      <c r="V27" s="83">
        <f t="shared" si="27"/>
        <v>0</v>
      </c>
      <c r="W27" s="84"/>
      <c r="X27" s="83"/>
      <c r="Y27" s="47">
        <f t="shared" si="4"/>
        <v>0</v>
      </c>
      <c r="Z27" s="85">
        <v>0</v>
      </c>
      <c r="AA27" s="29">
        <f>Z27-I27</f>
        <v>0</v>
      </c>
      <c r="AB27" s="29">
        <f>Z27-S27</f>
        <v>0</v>
      </c>
      <c r="AC27" s="72"/>
      <c r="AD27" s="72"/>
      <c r="AE27" s="72"/>
      <c r="AF27" s="72"/>
      <c r="AG27" s="72"/>
      <c r="AH27" s="85">
        <v>0</v>
      </c>
      <c r="AI27" s="85"/>
      <c r="AJ27" s="85">
        <f>AH27-Z27</f>
        <v>0</v>
      </c>
      <c r="AK27" s="86"/>
      <c r="AL27" s="85"/>
      <c r="AM27" s="74">
        <f t="shared" si="6"/>
        <v>0</v>
      </c>
      <c r="AN27" s="33">
        <f t="shared" si="7"/>
        <v>0</v>
      </c>
      <c r="AO27" s="75">
        <f t="shared" si="8"/>
        <v>0</v>
      </c>
      <c r="AQ27" s="85"/>
      <c r="AR27" s="85"/>
      <c r="AS27" s="85"/>
      <c r="AT27" s="86"/>
      <c r="AU27" s="71">
        <f>FLOOR(BD27,100)</f>
        <v>0</v>
      </c>
      <c r="AV27" s="71">
        <f>FLOOR(AT27,100)</f>
        <v>0</v>
      </c>
      <c r="AW27" s="71">
        <f>AV27-Z27</f>
        <v>0</v>
      </c>
      <c r="AX27" s="76">
        <f>AT27-Z27</f>
        <v>0</v>
      </c>
      <c r="AY27" s="76">
        <f>AT27-AL27</f>
        <v>0</v>
      </c>
      <c r="BE27" s="71">
        <v>0</v>
      </c>
      <c r="BF27" s="71"/>
      <c r="BG27" s="78">
        <f>BE27-AV27</f>
        <v>0</v>
      </c>
      <c r="BH27" s="71"/>
      <c r="BI27" s="78">
        <f>BF27-AV27</f>
        <v>0</v>
      </c>
      <c r="BJ27" s="78">
        <f>BF27-AU27</f>
        <v>0</v>
      </c>
      <c r="BK27" s="71"/>
      <c r="BL27" s="79">
        <f>BK27-BH27</f>
        <v>0</v>
      </c>
      <c r="BM27" s="79">
        <f>BK27-AV27</f>
        <v>0</v>
      </c>
      <c r="BN27" s="32"/>
      <c r="BO27" s="87"/>
      <c r="BP27" s="71"/>
      <c r="BQ27" s="32">
        <f t="shared" si="10"/>
        <v>0</v>
      </c>
      <c r="BR27" s="32">
        <f t="shared" si="11"/>
        <v>0</v>
      </c>
      <c r="BS27" s="87"/>
      <c r="BT27" s="32"/>
      <c r="BU27" s="33"/>
      <c r="BV27" s="34">
        <f t="shared" si="12"/>
        <v>0</v>
      </c>
      <c r="BY27" s="82"/>
      <c r="BZ27" s="82"/>
      <c r="CC27" s="37"/>
      <c r="CD27" s="71"/>
      <c r="CE27" s="82"/>
    </row>
    <row r="28" spans="1:83" s="77" customFormat="1" ht="18" customHeight="1" x14ac:dyDescent="0.25">
      <c r="A28" s="99" t="s">
        <v>58</v>
      </c>
      <c r="B28" s="100"/>
      <c r="C28" s="101"/>
      <c r="D28" s="43"/>
      <c r="E28" s="53"/>
      <c r="F28" s="68" t="s">
        <v>148</v>
      </c>
      <c r="G28" s="83">
        <v>0</v>
      </c>
      <c r="H28" s="83">
        <v>0</v>
      </c>
      <c r="I28" s="83">
        <v>0</v>
      </c>
      <c r="J28" s="70" t="s">
        <v>149</v>
      </c>
      <c r="K28" s="83">
        <v>0</v>
      </c>
      <c r="L28" s="83">
        <v>1471.69</v>
      </c>
      <c r="M28" s="83">
        <f>L28</f>
        <v>1471.69</v>
      </c>
      <c r="N28" s="83">
        <f>M28/2*8</f>
        <v>5886.76</v>
      </c>
      <c r="O28" s="83">
        <f>N28</f>
        <v>5886.76</v>
      </c>
      <c r="P28" s="83">
        <f>N28-I28</f>
        <v>5886.76</v>
      </c>
      <c r="Q28" s="83">
        <v>5398.82</v>
      </c>
      <c r="R28" s="83"/>
      <c r="S28" s="83">
        <f>Q28/5*8</f>
        <v>8638.1119999999992</v>
      </c>
      <c r="T28" s="83">
        <f t="shared" si="25"/>
        <v>8638.1119999999992</v>
      </c>
      <c r="U28" s="83">
        <f t="shared" si="26"/>
        <v>8638.1119999999992</v>
      </c>
      <c r="V28" s="83">
        <f t="shared" si="27"/>
        <v>2751.351999999999</v>
      </c>
      <c r="W28" s="84" t="s">
        <v>135</v>
      </c>
      <c r="X28" s="83">
        <f>6799.68/6*8</f>
        <v>9066.24</v>
      </c>
      <c r="Y28" s="47">
        <f t="shared" si="4"/>
        <v>428.12800000000061</v>
      </c>
      <c r="Z28" s="85">
        <v>13599</v>
      </c>
      <c r="AA28" s="29">
        <f>Z28-I28</f>
        <v>13599</v>
      </c>
      <c r="AB28" s="29">
        <f>Z28-S28</f>
        <v>4960.8880000000008</v>
      </c>
      <c r="AC28" s="72" t="s">
        <v>145</v>
      </c>
      <c r="AD28" s="72"/>
      <c r="AE28" s="72"/>
      <c r="AF28" s="72"/>
      <c r="AG28" s="72"/>
      <c r="AH28" s="85">
        <f>'[3]Tariffa pasti CS4'!$C$14</f>
        <v>16590.266317365269</v>
      </c>
      <c r="AI28" s="85">
        <f>9750.93/212*365</f>
        <v>16788.157783018869</v>
      </c>
      <c r="AJ28" s="85">
        <f>AH28-Z28</f>
        <v>2991.2663173652691</v>
      </c>
      <c r="AK28" s="86">
        <v>16635.54</v>
      </c>
      <c r="AL28" s="85">
        <f>15181.23/11*12</f>
        <v>16561.341818181816</v>
      </c>
      <c r="AM28" s="74">
        <f t="shared" si="6"/>
        <v>-226.81596483705289</v>
      </c>
      <c r="AN28" s="33">
        <f t="shared" si="7"/>
        <v>2962.3418181818161</v>
      </c>
      <c r="AO28" s="75">
        <f t="shared" si="8"/>
        <v>3189.1577830188689</v>
      </c>
      <c r="AP28" s="72">
        <f>AJ28</f>
        <v>2991.2663173652691</v>
      </c>
      <c r="AQ28" s="85" t="s">
        <v>136</v>
      </c>
      <c r="AR28" s="85" t="s">
        <v>136</v>
      </c>
      <c r="AS28" s="85" t="s">
        <v>136</v>
      </c>
      <c r="AT28" s="86">
        <f>(((699+1230)/11*12)-52)*8.5</f>
        <v>17445.090909090912</v>
      </c>
      <c r="AU28" s="71">
        <v>15936.75</v>
      </c>
      <c r="AV28" s="71">
        <f>FLOOR(AT28,100)</f>
        <v>17400</v>
      </c>
      <c r="AW28" s="71">
        <f>AV28-Z28</f>
        <v>3801</v>
      </c>
      <c r="AX28" s="76">
        <f>AT28-Z28</f>
        <v>3846.0909090909117</v>
      </c>
      <c r="AY28" s="76">
        <f>AT28-AL28</f>
        <v>883.74909090909568</v>
      </c>
      <c r="AZ28" s="77" t="s">
        <v>150</v>
      </c>
      <c r="BE28" s="71">
        <v>11384.21</v>
      </c>
      <c r="BF28" s="71">
        <f>5873.5/7*12</f>
        <v>10068.857142857143</v>
      </c>
      <c r="BG28" s="78">
        <f>BE28-AV28</f>
        <v>-6015.7900000000009</v>
      </c>
      <c r="BH28" s="71">
        <v>9287.5839416058388</v>
      </c>
      <c r="BI28" s="78">
        <f>BF28-AV28</f>
        <v>-7331.1428571428569</v>
      </c>
      <c r="BJ28" s="78">
        <f>BF28-AU28</f>
        <v>-5867.8928571428569</v>
      </c>
      <c r="BK28" s="71">
        <f>9044/11*12</f>
        <v>9866.181818181818</v>
      </c>
      <c r="BL28" s="79">
        <f>BK28-BH28</f>
        <v>578.59787657597917</v>
      </c>
      <c r="BM28" s="79">
        <f>BK28-AV28</f>
        <v>-7533.818181818182</v>
      </c>
      <c r="BN28" s="91" t="s">
        <v>140</v>
      </c>
      <c r="BO28" s="91" t="s">
        <v>109</v>
      </c>
      <c r="BP28" s="71">
        <v>9545.5</v>
      </c>
      <c r="BQ28" s="32">
        <f t="shared" si="10"/>
        <v>-320.68181818181802</v>
      </c>
      <c r="BR28" s="32">
        <f t="shared" si="11"/>
        <v>-7854.5</v>
      </c>
      <c r="BS28" s="91" t="s">
        <v>151</v>
      </c>
      <c r="BT28" s="91" t="s">
        <v>110</v>
      </c>
      <c r="BU28" s="33" t="s">
        <v>140</v>
      </c>
      <c r="BV28" s="34">
        <f t="shared" si="12"/>
        <v>-8112.4160583941612</v>
      </c>
      <c r="BY28" s="82"/>
      <c r="BZ28" s="82"/>
      <c r="CC28" s="37"/>
      <c r="CD28" s="71">
        <v>15936.75</v>
      </c>
      <c r="CE28" s="82"/>
    </row>
    <row r="29" spans="1:83" s="77" customFormat="1" ht="18" customHeight="1" x14ac:dyDescent="0.25">
      <c r="A29" s="99"/>
      <c r="B29" s="100"/>
      <c r="C29" s="101"/>
      <c r="D29" s="43"/>
      <c r="E29" s="53"/>
      <c r="F29" s="68" t="s">
        <v>152</v>
      </c>
      <c r="G29" s="83">
        <v>3300</v>
      </c>
      <c r="H29" s="83">
        <v>0</v>
      </c>
      <c r="I29" s="83">
        <v>0</v>
      </c>
      <c r="J29" s="70"/>
      <c r="K29" s="83">
        <v>0</v>
      </c>
      <c r="L29" s="83"/>
      <c r="M29" s="83">
        <f>L29</f>
        <v>0</v>
      </c>
      <c r="N29" s="83">
        <f>M29*2</f>
        <v>0</v>
      </c>
      <c r="O29" s="83"/>
      <c r="P29" s="83">
        <f>N29-I29</f>
        <v>0</v>
      </c>
      <c r="Q29" s="83"/>
      <c r="R29" s="83"/>
      <c r="S29" s="83"/>
      <c r="T29" s="83">
        <f t="shared" si="25"/>
        <v>0</v>
      </c>
      <c r="U29" s="83">
        <f t="shared" si="26"/>
        <v>0</v>
      </c>
      <c r="V29" s="83">
        <f t="shared" si="27"/>
        <v>0</v>
      </c>
      <c r="W29" s="84"/>
      <c r="X29" s="83"/>
      <c r="Y29" s="47">
        <f t="shared" si="4"/>
        <v>0</v>
      </c>
      <c r="Z29" s="85">
        <v>0</v>
      </c>
      <c r="AA29" s="29">
        <f>Z29-I29</f>
        <v>0</v>
      </c>
      <c r="AB29" s="29">
        <f>Z29-S29</f>
        <v>0</v>
      </c>
      <c r="AC29" s="72"/>
      <c r="AD29" s="72"/>
      <c r="AE29" s="72"/>
      <c r="AF29" s="72"/>
      <c r="AG29" s="72"/>
      <c r="AH29" s="85">
        <v>0</v>
      </c>
      <c r="AI29" s="85">
        <f>739.5/6*11</f>
        <v>1355.75</v>
      </c>
      <c r="AJ29" s="85">
        <f>AH29-Z29</f>
        <v>0</v>
      </c>
      <c r="AK29" s="86">
        <v>1612.875</v>
      </c>
      <c r="AL29" s="85">
        <f>1912.5/10*11</f>
        <v>2103.75</v>
      </c>
      <c r="AM29" s="74">
        <f t="shared" si="6"/>
        <v>748</v>
      </c>
      <c r="AN29" s="33">
        <f t="shared" si="7"/>
        <v>2103.75</v>
      </c>
      <c r="AO29" s="75">
        <f t="shared" si="8"/>
        <v>1355.75</v>
      </c>
      <c r="AQ29" s="90" t="s">
        <v>153</v>
      </c>
      <c r="AR29" s="90" t="s">
        <v>154</v>
      </c>
      <c r="AS29" s="90" t="s">
        <v>153</v>
      </c>
      <c r="AT29" s="86">
        <f>(225/10*12)*9.18</f>
        <v>2478.6</v>
      </c>
      <c r="AU29" s="71">
        <v>2082.5</v>
      </c>
      <c r="AV29" s="71">
        <f>FLOOR(AT29,100)</f>
        <v>2400</v>
      </c>
      <c r="AW29" s="71">
        <f>AV29-Z29</f>
        <v>2400</v>
      </c>
      <c r="AX29" s="76">
        <f>AT29-Z29</f>
        <v>2478.6</v>
      </c>
      <c r="AY29" s="76">
        <f>AT29-AL29</f>
        <v>374.84999999999991</v>
      </c>
      <c r="AZ29" s="77" t="s">
        <v>121</v>
      </c>
      <c r="BE29" s="71">
        <f>1055.7/3*12</f>
        <v>4222.8</v>
      </c>
      <c r="BF29" s="71">
        <f>2478.6/7*12</f>
        <v>4249.028571428571</v>
      </c>
      <c r="BG29" s="78">
        <f>BE29-AV29</f>
        <v>1822.8000000000002</v>
      </c>
      <c r="BH29" s="71">
        <v>4149.3599999999997</v>
      </c>
      <c r="BI29" s="78">
        <f>BF29-AV29</f>
        <v>1849.028571428571</v>
      </c>
      <c r="BJ29" s="78">
        <f>BF29-AU29</f>
        <v>2166.528571428571</v>
      </c>
      <c r="BK29" s="71">
        <f>3818.88/11*12</f>
        <v>4166.050909090909</v>
      </c>
      <c r="BL29" s="79">
        <f>BK29-BH29</f>
        <v>16.690909090909372</v>
      </c>
      <c r="BM29" s="79">
        <f>BK29-AV29</f>
        <v>1766.050909090909</v>
      </c>
      <c r="BN29" s="91" t="s">
        <v>108</v>
      </c>
      <c r="BO29" s="91" t="s">
        <v>109</v>
      </c>
      <c r="BP29" s="71">
        <v>4030.02</v>
      </c>
      <c r="BQ29" s="32">
        <f t="shared" si="10"/>
        <v>-136.03090909090906</v>
      </c>
      <c r="BR29" s="32">
        <f t="shared" si="11"/>
        <v>1630.02</v>
      </c>
      <c r="BS29" s="91" t="s">
        <v>155</v>
      </c>
      <c r="BT29" s="91" t="s">
        <v>110</v>
      </c>
      <c r="BU29" s="102" t="s">
        <v>122</v>
      </c>
      <c r="BV29" s="34">
        <f t="shared" si="12"/>
        <v>1749.3599999999997</v>
      </c>
      <c r="BY29" s="82"/>
      <c r="BZ29" s="82"/>
      <c r="CC29" s="37"/>
      <c r="CD29" s="71">
        <v>2082.5</v>
      </c>
      <c r="CE29" s="82"/>
    </row>
    <row r="30" spans="1:83" s="63" customFormat="1" ht="18" customHeight="1" x14ac:dyDescent="0.25">
      <c r="A30" s="96" t="s">
        <v>58</v>
      </c>
      <c r="B30" s="97"/>
      <c r="C30" s="98"/>
      <c r="D30" s="44"/>
      <c r="E30" s="53" t="s">
        <v>156</v>
      </c>
      <c r="F30" s="54"/>
      <c r="G30" s="55">
        <f t="shared" ref="G30:Q30" si="46">SUM(G31:G33)</f>
        <v>3500</v>
      </c>
      <c r="H30" s="55">
        <f t="shared" si="46"/>
        <v>4300</v>
      </c>
      <c r="I30" s="55">
        <f t="shared" si="46"/>
        <v>1600</v>
      </c>
      <c r="J30" s="55">
        <f t="shared" si="46"/>
        <v>0</v>
      </c>
      <c r="K30" s="55">
        <f t="shared" si="46"/>
        <v>4752.1000000000004</v>
      </c>
      <c r="L30" s="55">
        <f t="shared" si="46"/>
        <v>3460.5</v>
      </c>
      <c r="M30" s="55">
        <f t="shared" si="46"/>
        <v>3460.5</v>
      </c>
      <c r="N30" s="55">
        <f t="shared" si="46"/>
        <v>6921</v>
      </c>
      <c r="O30" s="55">
        <f t="shared" si="46"/>
        <v>6921</v>
      </c>
      <c r="P30" s="55">
        <f t="shared" si="46"/>
        <v>5321</v>
      </c>
      <c r="Q30" s="55">
        <f t="shared" si="46"/>
        <v>5814.81</v>
      </c>
      <c r="R30" s="55"/>
      <c r="S30" s="55">
        <f>SUM(S31:S33)</f>
        <v>6432.9466666666667</v>
      </c>
      <c r="T30" s="55">
        <f t="shared" si="25"/>
        <v>4832.9466666666667</v>
      </c>
      <c r="U30" s="55">
        <f t="shared" si="26"/>
        <v>1680.8466666666664</v>
      </c>
      <c r="V30" s="55">
        <f t="shared" si="27"/>
        <v>-488.05333333333328</v>
      </c>
      <c r="W30" s="57"/>
      <c r="X30" s="55">
        <f>SUM(X31:X33)</f>
        <v>6478.2963636363638</v>
      </c>
      <c r="Y30" s="88">
        <f t="shared" si="4"/>
        <v>45.349696969697106</v>
      </c>
      <c r="Z30" s="33">
        <f t="shared" ref="Z30:AL30" si="47">SUM(Z31:Z33)</f>
        <v>4064</v>
      </c>
      <c r="AA30" s="33">
        <f t="shared" si="47"/>
        <v>2464</v>
      </c>
      <c r="AB30" s="33">
        <f t="shared" si="47"/>
        <v>-2368.9466666666667</v>
      </c>
      <c r="AC30" s="33">
        <f t="shared" si="47"/>
        <v>0</v>
      </c>
      <c r="AD30" s="33">
        <f t="shared" si="47"/>
        <v>0</v>
      </c>
      <c r="AE30" s="33">
        <f t="shared" si="47"/>
        <v>0</v>
      </c>
      <c r="AF30" s="33">
        <f t="shared" si="47"/>
        <v>0</v>
      </c>
      <c r="AG30" s="33">
        <f t="shared" si="47"/>
        <v>0</v>
      </c>
      <c r="AH30" s="33">
        <f t="shared" si="47"/>
        <v>4064</v>
      </c>
      <c r="AI30" s="33">
        <f t="shared" si="47"/>
        <v>4466.5942857142854</v>
      </c>
      <c r="AJ30" s="33">
        <f t="shared" si="47"/>
        <v>0</v>
      </c>
      <c r="AK30" s="60">
        <f t="shared" si="47"/>
        <v>4370.7199999999993</v>
      </c>
      <c r="AL30" s="33">
        <f t="shared" si="47"/>
        <v>4667.1736363636364</v>
      </c>
      <c r="AM30" s="74">
        <f t="shared" si="6"/>
        <v>200.579350649351</v>
      </c>
      <c r="AN30" s="33">
        <f t="shared" si="7"/>
        <v>603.17363636363643</v>
      </c>
      <c r="AO30" s="75">
        <f t="shared" si="8"/>
        <v>402.59428571428543</v>
      </c>
      <c r="AQ30" s="33"/>
      <c r="AR30" s="33"/>
      <c r="AS30" s="33"/>
      <c r="AT30" s="60">
        <f t="shared" ref="AT30:BP30" si="48">SUM(AT31:AT33)</f>
        <v>4848.1236363636363</v>
      </c>
      <c r="AU30" s="33">
        <f t="shared" si="48"/>
        <v>4698.67</v>
      </c>
      <c r="AV30" s="33">
        <f t="shared" si="48"/>
        <v>4800</v>
      </c>
      <c r="AW30" s="33">
        <f t="shared" si="48"/>
        <v>736</v>
      </c>
      <c r="AX30" s="33">
        <f t="shared" si="48"/>
        <v>784.12363636363671</v>
      </c>
      <c r="AY30" s="33">
        <f t="shared" si="48"/>
        <v>180.9500000000005</v>
      </c>
      <c r="AZ30" s="33">
        <f t="shared" si="48"/>
        <v>0</v>
      </c>
      <c r="BA30" s="33">
        <f t="shared" si="48"/>
        <v>0</v>
      </c>
      <c r="BB30" s="33">
        <f t="shared" si="48"/>
        <v>0</v>
      </c>
      <c r="BC30" s="33">
        <f t="shared" si="48"/>
        <v>0</v>
      </c>
      <c r="BD30" s="33">
        <f t="shared" si="48"/>
        <v>0</v>
      </c>
      <c r="BE30" s="33">
        <f t="shared" si="48"/>
        <v>4800</v>
      </c>
      <c r="BF30" s="33">
        <f t="shared" si="48"/>
        <v>4360.0628571428579</v>
      </c>
      <c r="BG30" s="33">
        <f t="shared" si="48"/>
        <v>0</v>
      </c>
      <c r="BH30" s="33">
        <f t="shared" si="48"/>
        <v>4402.88</v>
      </c>
      <c r="BI30" s="33">
        <f t="shared" si="48"/>
        <v>-439.93714285714213</v>
      </c>
      <c r="BJ30" s="33">
        <f t="shared" si="48"/>
        <v>-338.60714285714243</v>
      </c>
      <c r="BK30" s="33">
        <f t="shared" si="48"/>
        <v>4754.0945454545454</v>
      </c>
      <c r="BL30" s="33">
        <f t="shared" si="48"/>
        <v>351.21454545454543</v>
      </c>
      <c r="BM30" s="33">
        <f t="shared" si="48"/>
        <v>-45.905454545454461</v>
      </c>
      <c r="BN30" s="33">
        <f t="shared" si="48"/>
        <v>0</v>
      </c>
      <c r="BO30" s="33">
        <f t="shared" si="48"/>
        <v>0</v>
      </c>
      <c r="BP30" s="33">
        <f t="shared" si="48"/>
        <v>4861.25</v>
      </c>
      <c r="BQ30" s="32">
        <f t="shared" si="10"/>
        <v>107.15545454545463</v>
      </c>
      <c r="BR30" s="32">
        <f t="shared" si="11"/>
        <v>61.25</v>
      </c>
      <c r="BS30" s="32"/>
      <c r="BT30" s="32"/>
      <c r="BU30" s="33"/>
      <c r="BV30" s="34">
        <f t="shared" si="12"/>
        <v>-397.11999999999989</v>
      </c>
      <c r="BY30" s="64"/>
      <c r="BZ30" s="64"/>
      <c r="CC30" s="37"/>
      <c r="CD30" s="33">
        <f>SUM(CD31:CD33)</f>
        <v>4698.67</v>
      </c>
    </row>
    <row r="31" spans="1:83" s="77" customFormat="1" ht="18" customHeight="1" x14ac:dyDescent="0.25">
      <c r="A31" s="99" t="s">
        <v>58</v>
      </c>
      <c r="B31" s="100"/>
      <c r="C31" s="101"/>
      <c r="D31" s="43"/>
      <c r="E31" s="53"/>
      <c r="F31" s="68" t="s">
        <v>157</v>
      </c>
      <c r="G31" s="83">
        <v>3500</v>
      </c>
      <c r="H31" s="83">
        <v>2600</v>
      </c>
      <c r="I31" s="83">
        <v>1500</v>
      </c>
      <c r="J31" s="70" t="s">
        <v>158</v>
      </c>
      <c r="K31" s="83">
        <v>2910.06</v>
      </c>
      <c r="L31" s="83">
        <v>1227.69</v>
      </c>
      <c r="M31" s="83">
        <f>L31</f>
        <v>1227.69</v>
      </c>
      <c r="N31" s="83">
        <f>M31*2</f>
        <v>2455.38</v>
      </c>
      <c r="O31" s="83">
        <f>N31</f>
        <v>2455.38</v>
      </c>
      <c r="P31" s="83">
        <f>N31-I31</f>
        <v>955.38000000000011</v>
      </c>
      <c r="Q31" s="83">
        <v>1854.41</v>
      </c>
      <c r="R31" s="83"/>
      <c r="S31" s="83">
        <f>Q31/9*12</f>
        <v>2472.5466666666666</v>
      </c>
      <c r="T31" s="83">
        <f t="shared" si="25"/>
        <v>972.54666666666662</v>
      </c>
      <c r="U31" s="83">
        <f t="shared" si="26"/>
        <v>-437.51333333333332</v>
      </c>
      <c r="V31" s="83">
        <f t="shared" si="27"/>
        <v>17.166666666666515</v>
      </c>
      <c r="W31" s="84"/>
      <c r="X31" s="83">
        <f>2259.14/11*12</f>
        <v>2464.5163636363636</v>
      </c>
      <c r="Y31" s="47">
        <f t="shared" si="4"/>
        <v>-8.0303030303030027</v>
      </c>
      <c r="Z31" s="85">
        <v>2464</v>
      </c>
      <c r="AA31" s="29">
        <f>Z31-I31</f>
        <v>964</v>
      </c>
      <c r="AB31" s="29">
        <f>Z31-S31</f>
        <v>-8.5466666666666242</v>
      </c>
      <c r="AC31" s="72"/>
      <c r="AD31" s="72"/>
      <c r="AE31" s="72"/>
      <c r="AF31" s="72"/>
      <c r="AG31" s="72"/>
      <c r="AH31" s="85">
        <f>Z31</f>
        <v>2464</v>
      </c>
      <c r="AI31" s="85">
        <f>1278.16/7*12</f>
        <v>2191.1314285714288</v>
      </c>
      <c r="AJ31" s="85">
        <f>AH31-Z31</f>
        <v>0</v>
      </c>
      <c r="AK31" s="86">
        <v>2118.0533333333333</v>
      </c>
      <c r="AL31" s="85">
        <f>1874.81/11*12</f>
        <v>2045.2472727272727</v>
      </c>
      <c r="AM31" s="74">
        <f t="shared" si="6"/>
        <v>-145.88415584415611</v>
      </c>
      <c r="AN31" s="33">
        <f t="shared" si="7"/>
        <v>-418.75272727272727</v>
      </c>
      <c r="AO31" s="75">
        <f t="shared" si="8"/>
        <v>-272.86857142857116</v>
      </c>
      <c r="AQ31" s="90" t="s">
        <v>106</v>
      </c>
      <c r="AR31" s="90" t="s">
        <v>107</v>
      </c>
      <c r="AS31" s="90" t="s">
        <v>106</v>
      </c>
      <c r="AT31" s="86">
        <f>((23+1260)/11*12)*1.59</f>
        <v>2225.4218181818183</v>
      </c>
      <c r="AU31" s="71">
        <v>2025.39</v>
      </c>
      <c r="AV31" s="71">
        <f>FLOOR(AT31,100)</f>
        <v>2200</v>
      </c>
      <c r="AW31" s="71">
        <f>AV31-Z31</f>
        <v>-264</v>
      </c>
      <c r="AX31" s="76">
        <f>AT31-Z31</f>
        <v>-238.57818181818175</v>
      </c>
      <c r="AY31" s="76">
        <f>AT31-AL31</f>
        <v>180.17454545454552</v>
      </c>
      <c r="AZ31" s="77" t="s">
        <v>159</v>
      </c>
      <c r="BE31" s="71">
        <v>2200</v>
      </c>
      <c r="BF31" s="71">
        <f>1202.03/7*12</f>
        <v>2060.6228571428574</v>
      </c>
      <c r="BG31" s="78">
        <f>BE31-AV31</f>
        <v>0</v>
      </c>
      <c r="BH31" s="71">
        <v>2160.92</v>
      </c>
      <c r="BI31" s="78">
        <f>BF31-AV31</f>
        <v>-139.37714285714264</v>
      </c>
      <c r="BJ31" s="78">
        <f>BF31-AU31</f>
        <v>35.232857142857256</v>
      </c>
      <c r="BK31" s="71">
        <f>2100.9/11*12</f>
        <v>2291.8909090909092</v>
      </c>
      <c r="BL31" s="79">
        <f>BK31-BH31</f>
        <v>130.97090909090912</v>
      </c>
      <c r="BM31" s="79">
        <f>BK31-AV31</f>
        <v>91.89090909090919</v>
      </c>
      <c r="BN31" s="91" t="s">
        <v>108</v>
      </c>
      <c r="BO31" s="91" t="s">
        <v>109</v>
      </c>
      <c r="BP31" s="71">
        <v>2302.33</v>
      </c>
      <c r="BQ31" s="32">
        <f t="shared" si="10"/>
        <v>10.439090909090737</v>
      </c>
      <c r="BR31" s="32">
        <f t="shared" si="11"/>
        <v>102.32999999999993</v>
      </c>
      <c r="BS31" s="92"/>
      <c r="BT31" s="91" t="s">
        <v>110</v>
      </c>
      <c r="BU31" s="33"/>
      <c r="BV31" s="34">
        <f t="shared" si="12"/>
        <v>-39.079999999999927</v>
      </c>
      <c r="BY31" s="82"/>
      <c r="BZ31" s="82"/>
      <c r="CC31" s="37"/>
      <c r="CD31" s="71">
        <v>2025.39</v>
      </c>
    </row>
    <row r="32" spans="1:83" s="77" customFormat="1" ht="18" customHeight="1" x14ac:dyDescent="0.25">
      <c r="A32" s="99" t="s">
        <v>58</v>
      </c>
      <c r="B32" s="100"/>
      <c r="C32" s="101"/>
      <c r="D32" s="43"/>
      <c r="E32" s="53"/>
      <c r="F32" s="68" t="s">
        <v>160</v>
      </c>
      <c r="G32" s="83">
        <v>0</v>
      </c>
      <c r="H32" s="83">
        <v>0</v>
      </c>
      <c r="I32" s="83">
        <v>0</v>
      </c>
      <c r="J32" s="70"/>
      <c r="K32" s="83">
        <v>0</v>
      </c>
      <c r="L32" s="83">
        <v>0</v>
      </c>
      <c r="M32" s="83">
        <v>0</v>
      </c>
      <c r="N32" s="83">
        <v>0</v>
      </c>
      <c r="O32" s="83"/>
      <c r="P32" s="83">
        <f>N32-I32</f>
        <v>0</v>
      </c>
      <c r="Q32" s="83"/>
      <c r="R32" s="83"/>
      <c r="S32" s="83"/>
      <c r="T32" s="83">
        <f t="shared" si="25"/>
        <v>0</v>
      </c>
      <c r="U32" s="83">
        <f t="shared" si="26"/>
        <v>0</v>
      </c>
      <c r="V32" s="83">
        <f t="shared" si="27"/>
        <v>0</v>
      </c>
      <c r="W32" s="84"/>
      <c r="X32" s="83"/>
      <c r="Y32" s="47">
        <f t="shared" si="4"/>
        <v>0</v>
      </c>
      <c r="Z32" s="85">
        <v>0</v>
      </c>
      <c r="AA32" s="29">
        <f>Z32-I32</f>
        <v>0</v>
      </c>
      <c r="AB32" s="29">
        <f>Z32-S32</f>
        <v>0</v>
      </c>
      <c r="AC32" s="72"/>
      <c r="AD32" s="72"/>
      <c r="AE32" s="72"/>
      <c r="AF32" s="72"/>
      <c r="AG32" s="72"/>
      <c r="AH32" s="85">
        <v>0</v>
      </c>
      <c r="AI32" s="85"/>
      <c r="AJ32" s="85">
        <f>AH32-Z32</f>
        <v>0</v>
      </c>
      <c r="AK32" s="86"/>
      <c r="AL32" s="85"/>
      <c r="AM32" s="74">
        <f t="shared" si="6"/>
        <v>0</v>
      </c>
      <c r="AN32" s="33">
        <f t="shared" si="7"/>
        <v>0</v>
      </c>
      <c r="AO32" s="75">
        <f t="shared" si="8"/>
        <v>0</v>
      </c>
      <c r="AQ32" s="85"/>
      <c r="AR32" s="85"/>
      <c r="AS32" s="85"/>
      <c r="AT32" s="86"/>
      <c r="AU32" s="71">
        <f>FLOOR(BD32,100)</f>
        <v>0</v>
      </c>
      <c r="AV32" s="71">
        <f>FLOOR(AT32,100)</f>
        <v>0</v>
      </c>
      <c r="AW32" s="71">
        <f>AV32-Z32</f>
        <v>0</v>
      </c>
      <c r="AX32" s="76">
        <f>AT32-Z32</f>
        <v>0</v>
      </c>
      <c r="AY32" s="76">
        <f>AT32-AL32</f>
        <v>0</v>
      </c>
      <c r="BE32" s="71">
        <v>0</v>
      </c>
      <c r="BF32" s="71"/>
      <c r="BG32" s="78">
        <f>BE32-AV32</f>
        <v>0</v>
      </c>
      <c r="BH32" s="71">
        <v>0</v>
      </c>
      <c r="BI32" s="78">
        <f>BF32-AV32</f>
        <v>0</v>
      </c>
      <c r="BJ32" s="78">
        <f>BF32-AU32</f>
        <v>0</v>
      </c>
      <c r="BK32" s="71">
        <v>238.68</v>
      </c>
      <c r="BL32" s="79">
        <f>BK32-BH32</f>
        <v>238.68</v>
      </c>
      <c r="BM32" s="79">
        <f>BK32-AV32</f>
        <v>238.68</v>
      </c>
      <c r="BN32" s="32"/>
      <c r="BO32" s="87" t="s">
        <v>161</v>
      </c>
      <c r="BP32" s="71">
        <v>229.5</v>
      </c>
      <c r="BQ32" s="32">
        <f t="shared" si="10"/>
        <v>-9.1800000000000068</v>
      </c>
      <c r="BR32" s="32">
        <f t="shared" si="11"/>
        <v>229.5</v>
      </c>
      <c r="BS32" s="87" t="s">
        <v>161</v>
      </c>
      <c r="BT32" s="32"/>
      <c r="BU32" s="33"/>
      <c r="BV32" s="34">
        <f t="shared" si="12"/>
        <v>0</v>
      </c>
      <c r="BY32" s="82"/>
      <c r="BZ32" s="82"/>
      <c r="CC32" s="37"/>
      <c r="CD32" s="71">
        <v>0</v>
      </c>
    </row>
    <row r="33" spans="1:82" s="77" customFormat="1" ht="18" customHeight="1" x14ac:dyDescent="0.25">
      <c r="A33" s="99" t="s">
        <v>58</v>
      </c>
      <c r="B33" s="100"/>
      <c r="C33" s="101"/>
      <c r="D33" s="43"/>
      <c r="E33" s="53"/>
      <c r="F33" s="68" t="s">
        <v>162</v>
      </c>
      <c r="G33" s="83">
        <v>0</v>
      </c>
      <c r="H33" s="83">
        <v>1700</v>
      </c>
      <c r="I33" s="83">
        <v>100</v>
      </c>
      <c r="J33" s="70" t="s">
        <v>163</v>
      </c>
      <c r="K33" s="83">
        <v>1842.04</v>
      </c>
      <c r="L33" s="83">
        <v>2232.81</v>
      </c>
      <c r="M33" s="83">
        <f>L33</f>
        <v>2232.81</v>
      </c>
      <c r="N33" s="83">
        <f>M33*2</f>
        <v>4465.62</v>
      </c>
      <c r="O33" s="83">
        <f>N33</f>
        <v>4465.62</v>
      </c>
      <c r="P33" s="83">
        <f>N33-I33</f>
        <v>4365.62</v>
      </c>
      <c r="Q33" s="83">
        <v>3960.4</v>
      </c>
      <c r="R33" s="83"/>
      <c r="S33" s="83">
        <f>Q33</f>
        <v>3960.4</v>
      </c>
      <c r="T33" s="83">
        <f t="shared" si="25"/>
        <v>3860.4</v>
      </c>
      <c r="U33" s="83">
        <f t="shared" si="26"/>
        <v>2118.36</v>
      </c>
      <c r="V33" s="83">
        <f t="shared" si="27"/>
        <v>-505.2199999999998</v>
      </c>
      <c r="W33" s="84" t="s">
        <v>164</v>
      </c>
      <c r="X33" s="83">
        <f>3987.81+15.87+10.1</f>
        <v>4013.7799999999997</v>
      </c>
      <c r="Y33" s="47">
        <f t="shared" si="4"/>
        <v>53.379999999999654</v>
      </c>
      <c r="Z33" s="85">
        <v>1600</v>
      </c>
      <c r="AA33" s="29">
        <f>Z33-I33</f>
        <v>1500</v>
      </c>
      <c r="AB33" s="29">
        <f>Z33-S33</f>
        <v>-2360.4</v>
      </c>
      <c r="AC33" s="72" t="s">
        <v>165</v>
      </c>
      <c r="AD33" s="72"/>
      <c r="AE33" s="72"/>
      <c r="AF33" s="72"/>
      <c r="AG33" s="72"/>
      <c r="AH33" s="85">
        <f>Z33</f>
        <v>1600</v>
      </c>
      <c r="AI33" s="85">
        <f>(394.02/7*12)+1600</f>
        <v>2275.462857142857</v>
      </c>
      <c r="AJ33" s="85">
        <f>AH33-Z33</f>
        <v>0</v>
      </c>
      <c r="AK33" s="86">
        <v>2252.6666666666665</v>
      </c>
      <c r="AL33" s="85">
        <f>((2570.87-(126.9+1628.55+253.8))/11*12+(126.9+1628.55+253.8))</f>
        <v>2621.9263636363635</v>
      </c>
      <c r="AM33" s="74">
        <f t="shared" si="6"/>
        <v>346.46350649350643</v>
      </c>
      <c r="AN33" s="33">
        <f t="shared" si="7"/>
        <v>1021.9263636363635</v>
      </c>
      <c r="AO33" s="75">
        <f t="shared" si="8"/>
        <v>675.46285714285705</v>
      </c>
      <c r="AQ33" s="90" t="s">
        <v>166</v>
      </c>
      <c r="AR33" s="90" t="s">
        <v>167</v>
      </c>
      <c r="AS33" s="90" t="s">
        <v>166</v>
      </c>
      <c r="AT33" s="86">
        <f>(((118+339-3-95)/11*12)*1.59)+2000</f>
        <v>2622.7018181818185</v>
      </c>
      <c r="AU33" s="71">
        <v>2673.28</v>
      </c>
      <c r="AV33" s="71">
        <f>FLOOR(AT33,100)</f>
        <v>2600</v>
      </c>
      <c r="AW33" s="71">
        <f>AV33-Z33</f>
        <v>1000</v>
      </c>
      <c r="AX33" s="76">
        <f>AT33-Z33</f>
        <v>1022.7018181818185</v>
      </c>
      <c r="AY33" s="76">
        <f>AT33-AL33</f>
        <v>0.77545454545497705</v>
      </c>
      <c r="AZ33" s="77" t="s">
        <v>168</v>
      </c>
      <c r="BE33" s="71">
        <v>2600</v>
      </c>
      <c r="BF33" s="71">
        <f>((2187.34-1692-338.4)/7*12)+1692+338.4</f>
        <v>2299.4400000000005</v>
      </c>
      <c r="BG33" s="78">
        <f>BE33-AV33</f>
        <v>0</v>
      </c>
      <c r="BH33" s="71">
        <v>2241.96</v>
      </c>
      <c r="BI33" s="78">
        <f>BF33-AV33</f>
        <v>-300.55999999999949</v>
      </c>
      <c r="BJ33" s="78">
        <f>BF33-AU33</f>
        <v>-373.83999999999969</v>
      </c>
      <c r="BK33" s="71">
        <f>((2207.43-2030.4)/11*12)+2030.4</f>
        <v>2223.5236363636363</v>
      </c>
      <c r="BL33" s="79">
        <f>BK33-BH33</f>
        <v>-18.436363636363694</v>
      </c>
      <c r="BM33" s="79">
        <f>BK33-AV33</f>
        <v>-376.47636363636366</v>
      </c>
      <c r="BN33" s="91" t="s">
        <v>169</v>
      </c>
      <c r="BO33" s="91" t="s">
        <v>170</v>
      </c>
      <c r="BP33" s="71">
        <v>2329.42</v>
      </c>
      <c r="BQ33" s="32">
        <f t="shared" si="10"/>
        <v>105.89636363636373</v>
      </c>
      <c r="BR33" s="32">
        <f t="shared" si="11"/>
        <v>-270.57999999999993</v>
      </c>
      <c r="BS33" s="92"/>
      <c r="BT33" s="91" t="s">
        <v>171</v>
      </c>
      <c r="BU33" s="33"/>
      <c r="BV33" s="34">
        <f t="shared" si="12"/>
        <v>-358.03999999999996</v>
      </c>
      <c r="BY33" s="82"/>
      <c r="BZ33" s="82"/>
      <c r="CC33" s="37"/>
      <c r="CD33" s="71">
        <v>2673.28</v>
      </c>
    </row>
    <row r="34" spans="1:82" s="35" customFormat="1" ht="18" customHeight="1" x14ac:dyDescent="0.25">
      <c r="A34" s="38" t="s">
        <v>58</v>
      </c>
      <c r="B34" s="39"/>
      <c r="C34" s="93"/>
      <c r="D34" s="93" t="s">
        <v>172</v>
      </c>
      <c r="E34" s="103"/>
      <c r="F34" s="104"/>
      <c r="G34" s="46">
        <f t="shared" ref="G34:Q34" si="49">G35</f>
        <v>0</v>
      </c>
      <c r="H34" s="46">
        <f t="shared" si="49"/>
        <v>0</v>
      </c>
      <c r="I34" s="46">
        <f t="shared" si="49"/>
        <v>6000</v>
      </c>
      <c r="J34" s="46">
        <f t="shared" si="49"/>
        <v>0</v>
      </c>
      <c r="K34" s="46">
        <f t="shared" si="49"/>
        <v>0</v>
      </c>
      <c r="L34" s="46">
        <f t="shared" si="49"/>
        <v>1108.0999999999999</v>
      </c>
      <c r="M34" s="46">
        <f t="shared" si="49"/>
        <v>1108.0999999999999</v>
      </c>
      <c r="N34" s="46">
        <f t="shared" si="49"/>
        <v>3878.3499999999995</v>
      </c>
      <c r="O34" s="46">
        <f t="shared" si="49"/>
        <v>3878.3499999999995</v>
      </c>
      <c r="P34" s="46">
        <f t="shared" si="49"/>
        <v>-2121.6500000000005</v>
      </c>
      <c r="Q34" s="46">
        <f t="shared" si="49"/>
        <v>3959.1</v>
      </c>
      <c r="R34" s="46"/>
      <c r="S34" s="46">
        <f>S35</f>
        <v>6928.4250000000002</v>
      </c>
      <c r="T34" s="46">
        <f t="shared" si="25"/>
        <v>928.42500000000018</v>
      </c>
      <c r="U34" s="46">
        <f t="shared" si="26"/>
        <v>6928.4250000000002</v>
      </c>
      <c r="V34" s="46">
        <f t="shared" si="27"/>
        <v>3050.0750000000007</v>
      </c>
      <c r="W34" s="47"/>
      <c r="X34" s="46">
        <f>X35</f>
        <v>6539.3416666666662</v>
      </c>
      <c r="Y34" s="47">
        <f t="shared" si="4"/>
        <v>-389.08333333333394</v>
      </c>
      <c r="Z34" s="48">
        <f t="shared" ref="Z34:AL34" si="50">Z35</f>
        <v>22420</v>
      </c>
      <c r="AA34" s="48">
        <f t="shared" si="50"/>
        <v>16420</v>
      </c>
      <c r="AB34" s="48">
        <f t="shared" si="50"/>
        <v>15491.575000000001</v>
      </c>
      <c r="AC34" s="48">
        <f t="shared" si="50"/>
        <v>0</v>
      </c>
      <c r="AD34" s="48">
        <f t="shared" si="50"/>
        <v>0</v>
      </c>
      <c r="AE34" s="48">
        <f t="shared" si="50"/>
        <v>0</v>
      </c>
      <c r="AF34" s="48">
        <f t="shared" si="50"/>
        <v>0</v>
      </c>
      <c r="AG34" s="48">
        <f t="shared" si="50"/>
        <v>0</v>
      </c>
      <c r="AH34" s="48">
        <f t="shared" si="50"/>
        <v>26434.6</v>
      </c>
      <c r="AI34" s="48">
        <f t="shared" si="50"/>
        <v>22420.598571428567</v>
      </c>
      <c r="AJ34" s="48">
        <f t="shared" si="50"/>
        <v>4014.5999999999985</v>
      </c>
      <c r="AK34" s="49">
        <f t="shared" si="50"/>
        <v>22420</v>
      </c>
      <c r="AL34" s="48">
        <f t="shared" si="50"/>
        <v>22420</v>
      </c>
      <c r="AM34" s="74">
        <f t="shared" si="6"/>
        <v>-0.59857142856708379</v>
      </c>
      <c r="AN34" s="94">
        <f t="shared" si="7"/>
        <v>0</v>
      </c>
      <c r="AO34" s="95">
        <f t="shared" si="8"/>
        <v>0.59857142856708379</v>
      </c>
      <c r="AQ34" s="48"/>
      <c r="AR34" s="48"/>
      <c r="AS34" s="48"/>
      <c r="AT34" s="49">
        <f t="shared" ref="AT34:BP34" si="51">AT35</f>
        <v>22420</v>
      </c>
      <c r="AU34" s="48">
        <f t="shared" si="51"/>
        <v>23080.87</v>
      </c>
      <c r="AV34" s="48">
        <f t="shared" si="51"/>
        <v>22400</v>
      </c>
      <c r="AW34" s="48">
        <f t="shared" si="51"/>
        <v>-20</v>
      </c>
      <c r="AX34" s="48">
        <f t="shared" si="51"/>
        <v>0</v>
      </c>
      <c r="AY34" s="48">
        <f t="shared" si="51"/>
        <v>0</v>
      </c>
      <c r="AZ34" s="48">
        <f t="shared" si="51"/>
        <v>0</v>
      </c>
      <c r="BA34" s="48">
        <f t="shared" si="51"/>
        <v>0</v>
      </c>
      <c r="BB34" s="48">
        <f t="shared" si="51"/>
        <v>0</v>
      </c>
      <c r="BC34" s="48">
        <f t="shared" si="51"/>
        <v>0</v>
      </c>
      <c r="BD34" s="48">
        <f t="shared" si="51"/>
        <v>0</v>
      </c>
      <c r="BE34" s="48">
        <f t="shared" si="51"/>
        <v>24732.1</v>
      </c>
      <c r="BF34" s="48">
        <f t="shared" si="51"/>
        <v>22667.360000000001</v>
      </c>
      <c r="BG34" s="48">
        <f t="shared" si="51"/>
        <v>2332.0999999999985</v>
      </c>
      <c r="BH34" s="48">
        <f t="shared" si="51"/>
        <v>22508.3</v>
      </c>
      <c r="BI34" s="48">
        <f t="shared" si="51"/>
        <v>267.36000000000058</v>
      </c>
      <c r="BJ34" s="48">
        <f t="shared" si="51"/>
        <v>-413.5099999999984</v>
      </c>
      <c r="BK34" s="48">
        <f t="shared" si="51"/>
        <v>24337.77</v>
      </c>
      <c r="BL34" s="48">
        <f t="shared" si="51"/>
        <v>1829.4700000000012</v>
      </c>
      <c r="BM34" s="48">
        <f t="shared" si="51"/>
        <v>1937.7700000000004</v>
      </c>
      <c r="BN34" s="48">
        <f t="shared" si="51"/>
        <v>0</v>
      </c>
      <c r="BO34" s="48">
        <f t="shared" si="51"/>
        <v>0</v>
      </c>
      <c r="BP34" s="48">
        <f t="shared" si="51"/>
        <v>26626.5</v>
      </c>
      <c r="BQ34" s="32">
        <f t="shared" si="10"/>
        <v>2288.7299999999996</v>
      </c>
      <c r="BR34" s="32">
        <f t="shared" si="11"/>
        <v>4226.5</v>
      </c>
      <c r="BS34" s="32"/>
      <c r="BT34" s="32"/>
      <c r="BU34" s="33"/>
      <c r="BV34" s="34">
        <f t="shared" si="12"/>
        <v>108.29999999999927</v>
      </c>
      <c r="BY34" s="36"/>
      <c r="BZ34" s="36"/>
      <c r="CC34" s="37"/>
      <c r="CD34" s="48">
        <f>CD35</f>
        <v>23080.87</v>
      </c>
    </row>
    <row r="35" spans="1:82" s="63" customFormat="1" ht="18" customHeight="1" x14ac:dyDescent="0.25">
      <c r="A35" s="96" t="s">
        <v>58</v>
      </c>
      <c r="B35" s="97"/>
      <c r="C35" s="98"/>
      <c r="D35" s="103"/>
      <c r="E35" s="98" t="s">
        <v>173</v>
      </c>
      <c r="F35" s="105"/>
      <c r="G35" s="55">
        <f t="shared" ref="G35:Q35" si="52">SUM(G36:G38)</f>
        <v>0</v>
      </c>
      <c r="H35" s="55">
        <f t="shared" si="52"/>
        <v>0</v>
      </c>
      <c r="I35" s="55">
        <f t="shared" si="52"/>
        <v>6000</v>
      </c>
      <c r="J35" s="55">
        <f t="shared" si="52"/>
        <v>0</v>
      </c>
      <c r="K35" s="55">
        <f t="shared" si="52"/>
        <v>0</v>
      </c>
      <c r="L35" s="55">
        <f t="shared" si="52"/>
        <v>1108.0999999999999</v>
      </c>
      <c r="M35" s="55">
        <f t="shared" si="52"/>
        <v>1108.0999999999999</v>
      </c>
      <c r="N35" s="55">
        <f t="shared" si="52"/>
        <v>3878.3499999999995</v>
      </c>
      <c r="O35" s="55">
        <f t="shared" si="52"/>
        <v>3878.3499999999995</v>
      </c>
      <c r="P35" s="55">
        <f t="shared" si="52"/>
        <v>-2121.6500000000005</v>
      </c>
      <c r="Q35" s="55">
        <f t="shared" si="52"/>
        <v>3959.1</v>
      </c>
      <c r="R35" s="55"/>
      <c r="S35" s="55">
        <f>SUM(S36:S38)</f>
        <v>6928.4250000000002</v>
      </c>
      <c r="T35" s="55">
        <f t="shared" si="25"/>
        <v>928.42500000000018</v>
      </c>
      <c r="U35" s="55">
        <f t="shared" si="26"/>
        <v>6928.4250000000002</v>
      </c>
      <c r="V35" s="55">
        <f t="shared" si="27"/>
        <v>3050.0750000000007</v>
      </c>
      <c r="W35" s="57"/>
      <c r="X35" s="55">
        <f>SUM(X36:X38)</f>
        <v>6539.3416666666662</v>
      </c>
      <c r="Y35" s="88">
        <f t="shared" si="4"/>
        <v>-389.08333333333394</v>
      </c>
      <c r="Z35" s="33">
        <f t="shared" ref="Z35:AL35" si="53">SUM(Z36:Z38)</f>
        <v>22420</v>
      </c>
      <c r="AA35" s="33">
        <f t="shared" si="53"/>
        <v>16420</v>
      </c>
      <c r="AB35" s="33">
        <f t="shared" si="53"/>
        <v>15491.575000000001</v>
      </c>
      <c r="AC35" s="33">
        <f t="shared" si="53"/>
        <v>0</v>
      </c>
      <c r="AD35" s="33">
        <f t="shared" si="53"/>
        <v>0</v>
      </c>
      <c r="AE35" s="33">
        <f t="shared" si="53"/>
        <v>0</v>
      </c>
      <c r="AF35" s="33">
        <f t="shared" si="53"/>
        <v>0</v>
      </c>
      <c r="AG35" s="33">
        <f t="shared" si="53"/>
        <v>0</v>
      </c>
      <c r="AH35" s="33">
        <f t="shared" si="53"/>
        <v>26434.6</v>
      </c>
      <c r="AI35" s="33">
        <f t="shared" si="53"/>
        <v>22420.598571428567</v>
      </c>
      <c r="AJ35" s="33">
        <f t="shared" si="53"/>
        <v>4014.5999999999985</v>
      </c>
      <c r="AK35" s="60">
        <f t="shared" si="53"/>
        <v>22420</v>
      </c>
      <c r="AL35" s="33">
        <f t="shared" si="53"/>
        <v>22420</v>
      </c>
      <c r="AM35" s="74">
        <f t="shared" si="6"/>
        <v>-0.59857142856708379</v>
      </c>
      <c r="AN35" s="33">
        <f t="shared" si="7"/>
        <v>0</v>
      </c>
      <c r="AO35" s="75">
        <f t="shared" si="8"/>
        <v>0.59857142856708379</v>
      </c>
      <c r="AQ35" s="33"/>
      <c r="AR35" s="33"/>
      <c r="AS35" s="33"/>
      <c r="AT35" s="60">
        <f t="shared" ref="AT35:BP35" si="54">SUM(AT36:AT38)</f>
        <v>22420</v>
      </c>
      <c r="AU35" s="33">
        <f t="shared" si="54"/>
        <v>23080.87</v>
      </c>
      <c r="AV35" s="33">
        <f t="shared" si="54"/>
        <v>22400</v>
      </c>
      <c r="AW35" s="33">
        <f t="shared" si="54"/>
        <v>-20</v>
      </c>
      <c r="AX35" s="33">
        <f t="shared" si="54"/>
        <v>0</v>
      </c>
      <c r="AY35" s="33">
        <f t="shared" si="54"/>
        <v>0</v>
      </c>
      <c r="AZ35" s="33">
        <f t="shared" si="54"/>
        <v>0</v>
      </c>
      <c r="BA35" s="33">
        <f t="shared" si="54"/>
        <v>0</v>
      </c>
      <c r="BB35" s="33">
        <f t="shared" si="54"/>
        <v>0</v>
      </c>
      <c r="BC35" s="33">
        <f t="shared" si="54"/>
        <v>0</v>
      </c>
      <c r="BD35" s="33">
        <f t="shared" si="54"/>
        <v>0</v>
      </c>
      <c r="BE35" s="33">
        <f t="shared" si="54"/>
        <v>24732.1</v>
      </c>
      <c r="BF35" s="33">
        <f t="shared" si="54"/>
        <v>22667.360000000001</v>
      </c>
      <c r="BG35" s="33">
        <f t="shared" si="54"/>
        <v>2332.0999999999985</v>
      </c>
      <c r="BH35" s="33">
        <f t="shared" si="54"/>
        <v>22508.3</v>
      </c>
      <c r="BI35" s="33">
        <f t="shared" si="54"/>
        <v>267.36000000000058</v>
      </c>
      <c r="BJ35" s="33">
        <f t="shared" si="54"/>
        <v>-413.5099999999984</v>
      </c>
      <c r="BK35" s="33">
        <f t="shared" si="54"/>
        <v>24337.77</v>
      </c>
      <c r="BL35" s="33">
        <f t="shared" si="54"/>
        <v>1829.4700000000012</v>
      </c>
      <c r="BM35" s="33">
        <f t="shared" si="54"/>
        <v>1937.7700000000004</v>
      </c>
      <c r="BN35" s="33">
        <f t="shared" si="54"/>
        <v>0</v>
      </c>
      <c r="BO35" s="33">
        <f t="shared" si="54"/>
        <v>0</v>
      </c>
      <c r="BP35" s="33">
        <f t="shared" si="54"/>
        <v>26626.5</v>
      </c>
      <c r="BQ35" s="32">
        <f t="shared" si="10"/>
        <v>2288.7299999999996</v>
      </c>
      <c r="BR35" s="32">
        <f t="shared" si="11"/>
        <v>4226.5</v>
      </c>
      <c r="BS35" s="32"/>
      <c r="BT35" s="32"/>
      <c r="BU35" s="33"/>
      <c r="BV35" s="34">
        <f t="shared" si="12"/>
        <v>108.29999999999927</v>
      </c>
      <c r="BY35" s="64"/>
      <c r="BZ35" s="64"/>
      <c r="CC35" s="37"/>
      <c r="CD35" s="33">
        <f>SUM(CD36:CD38)</f>
        <v>23080.87</v>
      </c>
    </row>
    <row r="36" spans="1:82" s="77" customFormat="1" ht="18" customHeight="1" x14ac:dyDescent="0.25">
      <c r="A36" s="99" t="s">
        <v>58</v>
      </c>
      <c r="B36" s="100"/>
      <c r="C36" s="101"/>
      <c r="D36" s="93"/>
      <c r="E36" s="98"/>
      <c r="F36" s="68" t="s">
        <v>174</v>
      </c>
      <c r="G36" s="83">
        <v>0</v>
      </c>
      <c r="H36" s="83">
        <v>0</v>
      </c>
      <c r="I36" s="83">
        <v>6000</v>
      </c>
      <c r="J36" s="70" t="s">
        <v>175</v>
      </c>
      <c r="K36" s="83">
        <v>0</v>
      </c>
      <c r="L36" s="83">
        <v>1108.0999999999999</v>
      </c>
      <c r="M36" s="83">
        <f>L36</f>
        <v>1108.0999999999999</v>
      </c>
      <c r="N36" s="83">
        <f>M36/2*7</f>
        <v>3878.3499999999995</v>
      </c>
      <c r="O36" s="83">
        <f>N36</f>
        <v>3878.3499999999995</v>
      </c>
      <c r="P36" s="83">
        <f>N36-I36</f>
        <v>-2121.6500000000005</v>
      </c>
      <c r="Q36" s="83">
        <v>3959.1</v>
      </c>
      <c r="R36" s="83"/>
      <c r="S36" s="83">
        <f>(Q36/4*7)</f>
        <v>6928.4250000000002</v>
      </c>
      <c r="T36" s="83">
        <f t="shared" si="25"/>
        <v>928.42500000000018</v>
      </c>
      <c r="U36" s="83">
        <f t="shared" si="26"/>
        <v>6928.4250000000002</v>
      </c>
      <c r="V36" s="83">
        <f t="shared" si="27"/>
        <v>3050.0750000000007</v>
      </c>
      <c r="W36" s="84"/>
      <c r="X36" s="83">
        <f>5605.15/6*7</f>
        <v>6539.3416666666662</v>
      </c>
      <c r="Y36" s="47">
        <f t="shared" si="4"/>
        <v>-389.08333333333394</v>
      </c>
      <c r="Z36" s="85">
        <v>22420</v>
      </c>
      <c r="AA36" s="29">
        <f t="shared" ref="AA36:AA47" si="55">Z36-I36</f>
        <v>16420</v>
      </c>
      <c r="AB36" s="29">
        <f t="shared" ref="AB36:AB47" si="56">Z36-S36</f>
        <v>15491.575000000001</v>
      </c>
      <c r="AC36" s="72" t="s">
        <v>176</v>
      </c>
      <c r="AD36" s="72"/>
      <c r="AE36" s="72"/>
      <c r="AF36" s="72"/>
      <c r="AG36" s="72"/>
      <c r="AH36" s="85">
        <v>26434.6</v>
      </c>
      <c r="AI36" s="85">
        <f>(10935.3/7*12)+3674.37</f>
        <v>22420.598571428567</v>
      </c>
      <c r="AJ36" s="85">
        <f t="shared" ref="AJ36:AJ47" si="57">AH36-Z36</f>
        <v>4014.5999999999985</v>
      </c>
      <c r="AK36" s="86">
        <v>22420</v>
      </c>
      <c r="AL36" s="85">
        <f>Z36</f>
        <v>22420</v>
      </c>
      <c r="AM36" s="74">
        <f t="shared" si="6"/>
        <v>-0.59857142856708379</v>
      </c>
      <c r="AN36" s="33">
        <f t="shared" si="7"/>
        <v>0</v>
      </c>
      <c r="AO36" s="75">
        <f t="shared" si="8"/>
        <v>0.59857142856708379</v>
      </c>
      <c r="AP36" s="72">
        <f>AJ36</f>
        <v>4014.5999999999985</v>
      </c>
      <c r="AQ36" s="90" t="s">
        <v>177</v>
      </c>
      <c r="AR36" s="90" t="s">
        <v>178</v>
      </c>
      <c r="AS36" s="90" t="s">
        <v>177</v>
      </c>
      <c r="AT36" s="86">
        <f>Z36</f>
        <v>22420</v>
      </c>
      <c r="AU36" s="71">
        <v>23080.87</v>
      </c>
      <c r="AV36" s="71">
        <f>FLOOR(AT36,100)</f>
        <v>22400</v>
      </c>
      <c r="AW36" s="71">
        <f t="shared" ref="AW36:AW47" si="58">AV36-Z36</f>
        <v>-20</v>
      </c>
      <c r="AX36" s="76">
        <f t="shared" ref="AX36:AX47" si="59">AT36-Z36</f>
        <v>0</v>
      </c>
      <c r="AY36" s="76">
        <f t="shared" ref="AY36:AY47" si="60">AT36-AL36</f>
        <v>0</v>
      </c>
      <c r="AZ36" s="77" t="s">
        <v>179</v>
      </c>
      <c r="BE36" s="71">
        <v>24732.1</v>
      </c>
      <c r="BF36" s="71">
        <v>22667.360000000001</v>
      </c>
      <c r="BG36" s="78">
        <f t="shared" ref="BG36:BG47" si="61">BE36-AV36</f>
        <v>2332.0999999999985</v>
      </c>
      <c r="BH36" s="71">
        <v>22508.3</v>
      </c>
      <c r="BI36" s="78">
        <f t="shared" ref="BI36:BI47" si="62">BF36-AV36</f>
        <v>267.36000000000058</v>
      </c>
      <c r="BJ36" s="78">
        <f t="shared" ref="BJ36:BJ47" si="63">BF36-AU36</f>
        <v>-413.5099999999984</v>
      </c>
      <c r="BK36" s="71">
        <v>24337.77</v>
      </c>
      <c r="BL36" s="79">
        <f t="shared" ref="BL36:BL47" si="64">BK36-BH36</f>
        <v>1829.4700000000012</v>
      </c>
      <c r="BM36" s="79">
        <f t="shared" ref="BM36:BM47" si="65">BK36-AV36</f>
        <v>1937.7700000000004</v>
      </c>
      <c r="BN36" s="87" t="s">
        <v>180</v>
      </c>
      <c r="BO36" s="87" t="s">
        <v>181</v>
      </c>
      <c r="BP36" s="71">
        <v>26626.5</v>
      </c>
      <c r="BQ36" s="32">
        <f t="shared" si="10"/>
        <v>2288.7299999999996</v>
      </c>
      <c r="BR36" s="32">
        <f t="shared" si="11"/>
        <v>4226.5</v>
      </c>
      <c r="BS36" s="87" t="s">
        <v>182</v>
      </c>
      <c r="BT36" s="87" t="s">
        <v>180</v>
      </c>
      <c r="BU36" s="33" t="s">
        <v>180</v>
      </c>
      <c r="BV36" s="34">
        <f t="shared" si="12"/>
        <v>108.29999999999927</v>
      </c>
      <c r="BY36" s="82"/>
      <c r="BZ36" s="82"/>
      <c r="CC36" s="37"/>
      <c r="CD36" s="71">
        <v>23080.87</v>
      </c>
    </row>
    <row r="37" spans="1:82" s="77" customFormat="1" ht="18" hidden="1" customHeight="1" x14ac:dyDescent="0.25">
      <c r="A37" s="99" t="s">
        <v>58</v>
      </c>
      <c r="B37" s="100"/>
      <c r="C37" s="101"/>
      <c r="D37" s="93"/>
      <c r="E37" s="98"/>
      <c r="F37" s="68" t="s">
        <v>183</v>
      </c>
      <c r="G37" s="106">
        <v>0</v>
      </c>
      <c r="H37" s="106">
        <v>0</v>
      </c>
      <c r="I37" s="106">
        <v>0</v>
      </c>
      <c r="J37" s="106">
        <v>0</v>
      </c>
      <c r="K37" s="106">
        <v>0</v>
      </c>
      <c r="L37" s="106">
        <v>0</v>
      </c>
      <c r="M37" s="106">
        <v>0</v>
      </c>
      <c r="N37" s="106">
        <v>0</v>
      </c>
      <c r="O37" s="106">
        <v>0</v>
      </c>
      <c r="P37" s="106">
        <f>N37-I37</f>
        <v>0</v>
      </c>
      <c r="Q37" s="106"/>
      <c r="R37" s="106"/>
      <c r="S37" s="106"/>
      <c r="T37" s="106">
        <f t="shared" si="25"/>
        <v>0</v>
      </c>
      <c r="U37" s="107">
        <f t="shared" si="26"/>
        <v>0</v>
      </c>
      <c r="V37" s="106">
        <f t="shared" si="27"/>
        <v>0</v>
      </c>
      <c r="W37" s="108"/>
      <c r="X37" s="109"/>
      <c r="Y37" s="24">
        <f t="shared" si="4"/>
        <v>0</v>
      </c>
      <c r="Z37" s="85">
        <v>0</v>
      </c>
      <c r="AA37" s="29">
        <f t="shared" si="55"/>
        <v>0</v>
      </c>
      <c r="AB37" s="29">
        <f t="shared" si="56"/>
        <v>0</v>
      </c>
      <c r="AC37" s="72"/>
      <c r="AD37" s="72"/>
      <c r="AE37" s="72"/>
      <c r="AF37" s="72"/>
      <c r="AG37" s="72"/>
      <c r="AH37" s="85">
        <v>0</v>
      </c>
      <c r="AI37" s="85"/>
      <c r="AJ37" s="85">
        <f t="shared" si="57"/>
        <v>0</v>
      </c>
      <c r="AK37" s="86"/>
      <c r="AL37" s="85"/>
      <c r="AM37" s="27">
        <f t="shared" si="6"/>
        <v>0</v>
      </c>
      <c r="AN37" s="61">
        <f t="shared" si="7"/>
        <v>0</v>
      </c>
      <c r="AO37" s="62">
        <f t="shared" si="8"/>
        <v>0</v>
      </c>
      <c r="AQ37" s="85"/>
      <c r="AR37" s="85"/>
      <c r="AS37" s="85"/>
      <c r="AT37" s="86"/>
      <c r="AU37" s="85"/>
      <c r="AV37" s="85"/>
      <c r="AW37" s="85">
        <f t="shared" si="58"/>
        <v>0</v>
      </c>
      <c r="AX37" s="76">
        <f t="shared" si="59"/>
        <v>0</v>
      </c>
      <c r="AY37" s="76">
        <f t="shared" si="60"/>
        <v>0</v>
      </c>
      <c r="BE37" s="85"/>
      <c r="BF37" s="85"/>
      <c r="BG37" s="78">
        <f t="shared" si="61"/>
        <v>0</v>
      </c>
      <c r="BH37" s="85"/>
      <c r="BI37" s="78">
        <f t="shared" si="62"/>
        <v>0</v>
      </c>
      <c r="BJ37" s="78">
        <f t="shared" si="63"/>
        <v>0</v>
      </c>
      <c r="BK37" s="85"/>
      <c r="BL37" s="79">
        <f t="shared" si="64"/>
        <v>0</v>
      </c>
      <c r="BM37" s="79">
        <f t="shared" si="65"/>
        <v>0</v>
      </c>
      <c r="BN37" s="32"/>
      <c r="BO37" s="32"/>
      <c r="BP37" s="85"/>
      <c r="BQ37" s="31">
        <f t="shared" si="10"/>
        <v>0</v>
      </c>
      <c r="BR37" s="31">
        <f t="shared" si="11"/>
        <v>0</v>
      </c>
      <c r="BS37" s="32"/>
      <c r="BT37" s="32"/>
      <c r="BU37" s="33"/>
      <c r="BV37" s="34">
        <f t="shared" si="12"/>
        <v>0</v>
      </c>
      <c r="BY37" s="82"/>
      <c r="BZ37" s="82"/>
      <c r="CC37" s="37"/>
      <c r="CD37" s="85"/>
    </row>
    <row r="38" spans="1:82" s="77" customFormat="1" ht="18" hidden="1" customHeight="1" x14ac:dyDescent="0.25">
      <c r="A38" s="99" t="s">
        <v>58</v>
      </c>
      <c r="B38" s="100"/>
      <c r="C38" s="101"/>
      <c r="D38" s="93"/>
      <c r="E38" s="98"/>
      <c r="F38" s="68" t="s">
        <v>184</v>
      </c>
      <c r="G38" s="106">
        <v>0</v>
      </c>
      <c r="H38" s="106">
        <v>0</v>
      </c>
      <c r="I38" s="106">
        <v>0</v>
      </c>
      <c r="J38" s="106">
        <v>0</v>
      </c>
      <c r="K38" s="106">
        <v>0</v>
      </c>
      <c r="L38" s="106">
        <v>0</v>
      </c>
      <c r="M38" s="106">
        <v>0</v>
      </c>
      <c r="N38" s="106">
        <v>0</v>
      </c>
      <c r="O38" s="106">
        <v>0</v>
      </c>
      <c r="P38" s="106">
        <f>N38-I38</f>
        <v>0</v>
      </c>
      <c r="Q38" s="106"/>
      <c r="R38" s="106"/>
      <c r="S38" s="106"/>
      <c r="T38" s="106">
        <f t="shared" si="25"/>
        <v>0</v>
      </c>
      <c r="U38" s="107">
        <f t="shared" si="26"/>
        <v>0</v>
      </c>
      <c r="V38" s="106">
        <f t="shared" si="27"/>
        <v>0</v>
      </c>
      <c r="W38" s="108"/>
      <c r="X38" s="109"/>
      <c r="Y38" s="24">
        <f t="shared" si="4"/>
        <v>0</v>
      </c>
      <c r="Z38" s="85">
        <v>0</v>
      </c>
      <c r="AA38" s="29">
        <f t="shared" si="55"/>
        <v>0</v>
      </c>
      <c r="AB38" s="29">
        <f t="shared" si="56"/>
        <v>0</v>
      </c>
      <c r="AC38" s="72"/>
      <c r="AD38" s="72"/>
      <c r="AE38" s="72"/>
      <c r="AF38" s="72"/>
      <c r="AG38" s="72"/>
      <c r="AH38" s="85">
        <v>0</v>
      </c>
      <c r="AI38" s="85"/>
      <c r="AJ38" s="85">
        <f t="shared" si="57"/>
        <v>0</v>
      </c>
      <c r="AK38" s="86"/>
      <c r="AL38" s="85"/>
      <c r="AM38" s="27">
        <f t="shared" si="6"/>
        <v>0</v>
      </c>
      <c r="AN38" s="61">
        <f t="shared" si="7"/>
        <v>0</v>
      </c>
      <c r="AO38" s="62">
        <f t="shared" si="8"/>
        <v>0</v>
      </c>
      <c r="AQ38" s="85"/>
      <c r="AR38" s="85"/>
      <c r="AS38" s="85"/>
      <c r="AT38" s="86"/>
      <c r="AU38" s="85"/>
      <c r="AV38" s="85"/>
      <c r="AW38" s="85">
        <f t="shared" si="58"/>
        <v>0</v>
      </c>
      <c r="AX38" s="76">
        <f t="shared" si="59"/>
        <v>0</v>
      </c>
      <c r="AY38" s="76">
        <f t="shared" si="60"/>
        <v>0</v>
      </c>
      <c r="BE38" s="85"/>
      <c r="BF38" s="85"/>
      <c r="BG38" s="78">
        <f t="shared" si="61"/>
        <v>0</v>
      </c>
      <c r="BH38" s="85"/>
      <c r="BI38" s="78">
        <f t="shared" si="62"/>
        <v>0</v>
      </c>
      <c r="BJ38" s="78">
        <f t="shared" si="63"/>
        <v>0</v>
      </c>
      <c r="BK38" s="85"/>
      <c r="BL38" s="79">
        <f t="shared" si="64"/>
        <v>0</v>
      </c>
      <c r="BM38" s="79">
        <f t="shared" si="65"/>
        <v>0</v>
      </c>
      <c r="BN38" s="32"/>
      <c r="BO38" s="32"/>
      <c r="BP38" s="85"/>
      <c r="BQ38" s="31">
        <f t="shared" si="10"/>
        <v>0</v>
      </c>
      <c r="BR38" s="31">
        <f t="shared" si="11"/>
        <v>0</v>
      </c>
      <c r="BS38" s="32"/>
      <c r="BT38" s="32"/>
      <c r="BU38" s="33"/>
      <c r="BV38" s="34">
        <f t="shared" si="12"/>
        <v>0</v>
      </c>
      <c r="BY38" s="82"/>
      <c r="BZ38" s="82"/>
      <c r="CC38" s="37"/>
      <c r="CD38" s="85"/>
    </row>
    <row r="39" spans="1:82" s="35" customFormat="1" ht="18" hidden="1" customHeight="1" x14ac:dyDescent="0.25">
      <c r="A39" s="38" t="s">
        <v>58</v>
      </c>
      <c r="B39" s="39"/>
      <c r="C39" s="93"/>
      <c r="D39" s="93" t="s">
        <v>185</v>
      </c>
      <c r="E39" s="103"/>
      <c r="F39" s="104"/>
      <c r="G39" s="46">
        <f t="shared" ref="G39:Q39" si="66">G40</f>
        <v>0</v>
      </c>
      <c r="H39" s="46">
        <f t="shared" si="66"/>
        <v>0</v>
      </c>
      <c r="I39" s="46">
        <f t="shared" si="66"/>
        <v>0</v>
      </c>
      <c r="J39" s="46">
        <f t="shared" si="66"/>
        <v>0</v>
      </c>
      <c r="K39" s="46">
        <f t="shared" si="66"/>
        <v>0</v>
      </c>
      <c r="L39" s="46">
        <f t="shared" si="66"/>
        <v>0</v>
      </c>
      <c r="M39" s="46">
        <f t="shared" si="66"/>
        <v>0</v>
      </c>
      <c r="N39" s="46">
        <f t="shared" si="66"/>
        <v>0</v>
      </c>
      <c r="O39" s="46">
        <f t="shared" si="66"/>
        <v>0</v>
      </c>
      <c r="P39" s="46">
        <f t="shared" si="66"/>
        <v>0</v>
      </c>
      <c r="Q39" s="46">
        <f t="shared" si="66"/>
        <v>0</v>
      </c>
      <c r="R39" s="46"/>
      <c r="S39" s="46"/>
      <c r="T39" s="46">
        <f t="shared" si="25"/>
        <v>0</v>
      </c>
      <c r="U39" s="21">
        <f t="shared" si="26"/>
        <v>0</v>
      </c>
      <c r="V39" s="46">
        <f t="shared" si="27"/>
        <v>0</v>
      </c>
      <c r="W39" s="47"/>
      <c r="X39" s="23"/>
      <c r="Y39" s="24">
        <f t="shared" si="4"/>
        <v>0</v>
      </c>
      <c r="Z39" s="48"/>
      <c r="AA39" s="110">
        <f t="shared" si="55"/>
        <v>0</v>
      </c>
      <c r="AB39" s="110">
        <f t="shared" si="56"/>
        <v>0</v>
      </c>
      <c r="AC39" s="29"/>
      <c r="AD39" s="29"/>
      <c r="AE39" s="29"/>
      <c r="AF39" s="29"/>
      <c r="AG39" s="29"/>
      <c r="AH39" s="48"/>
      <c r="AI39" s="48"/>
      <c r="AJ39" s="48">
        <f t="shared" si="57"/>
        <v>0</v>
      </c>
      <c r="AK39" s="49"/>
      <c r="AL39" s="48"/>
      <c r="AM39" s="27">
        <f t="shared" si="6"/>
        <v>0</v>
      </c>
      <c r="AN39" s="61">
        <f t="shared" si="7"/>
        <v>0</v>
      </c>
      <c r="AO39" s="62">
        <f t="shared" si="8"/>
        <v>0</v>
      </c>
      <c r="AQ39" s="48"/>
      <c r="AR39" s="48"/>
      <c r="AS39" s="48"/>
      <c r="AT39" s="49"/>
      <c r="AU39" s="48"/>
      <c r="AV39" s="48"/>
      <c r="AW39" s="48">
        <f t="shared" si="58"/>
        <v>0</v>
      </c>
      <c r="AX39" s="76">
        <f t="shared" si="59"/>
        <v>0</v>
      </c>
      <c r="AY39" s="76">
        <f t="shared" si="60"/>
        <v>0</v>
      </c>
      <c r="BE39" s="48"/>
      <c r="BF39" s="48"/>
      <c r="BG39" s="78">
        <f t="shared" si="61"/>
        <v>0</v>
      </c>
      <c r="BH39" s="48"/>
      <c r="BI39" s="78">
        <f t="shared" si="62"/>
        <v>0</v>
      </c>
      <c r="BJ39" s="78">
        <f t="shared" si="63"/>
        <v>0</v>
      </c>
      <c r="BK39" s="48"/>
      <c r="BL39" s="79">
        <f t="shared" si="64"/>
        <v>0</v>
      </c>
      <c r="BM39" s="79">
        <f t="shared" si="65"/>
        <v>0</v>
      </c>
      <c r="BN39" s="32"/>
      <c r="BO39" s="32"/>
      <c r="BP39" s="48"/>
      <c r="BQ39" s="31">
        <f t="shared" si="10"/>
        <v>0</v>
      </c>
      <c r="BR39" s="31">
        <f t="shared" si="11"/>
        <v>0</v>
      </c>
      <c r="BS39" s="32"/>
      <c r="BT39" s="32"/>
      <c r="BU39" s="33"/>
      <c r="BV39" s="34">
        <f t="shared" si="12"/>
        <v>0</v>
      </c>
      <c r="BY39" s="36"/>
      <c r="BZ39" s="36"/>
      <c r="CC39" s="37"/>
      <c r="CD39" s="48"/>
    </row>
    <row r="40" spans="1:82" s="77" customFormat="1" ht="18" hidden="1" customHeight="1" x14ac:dyDescent="0.25">
      <c r="A40" s="99" t="s">
        <v>58</v>
      </c>
      <c r="B40" s="100"/>
      <c r="C40" s="101"/>
      <c r="D40" s="93"/>
      <c r="E40" s="98" t="s">
        <v>186</v>
      </c>
      <c r="F40" s="105"/>
      <c r="G40" s="55">
        <v>0</v>
      </c>
      <c r="H40" s="55">
        <v>0</v>
      </c>
      <c r="I40" s="55">
        <v>0</v>
      </c>
      <c r="J40" s="55">
        <v>0</v>
      </c>
      <c r="K40" s="55">
        <v>0</v>
      </c>
      <c r="L40" s="55">
        <v>0</v>
      </c>
      <c r="M40" s="55">
        <v>0</v>
      </c>
      <c r="N40" s="55">
        <v>0</v>
      </c>
      <c r="O40" s="55">
        <v>0</v>
      </c>
      <c r="P40" s="55">
        <f t="shared" ref="P40:P47" si="67">N40-I40</f>
        <v>0</v>
      </c>
      <c r="Q40" s="55"/>
      <c r="R40" s="55"/>
      <c r="S40" s="55"/>
      <c r="T40" s="55">
        <f t="shared" si="25"/>
        <v>0</v>
      </c>
      <c r="U40" s="56">
        <f t="shared" si="26"/>
        <v>0</v>
      </c>
      <c r="V40" s="55">
        <f t="shared" si="27"/>
        <v>0</v>
      </c>
      <c r="W40" s="57"/>
      <c r="X40" s="58"/>
      <c r="Y40" s="24">
        <f t="shared" si="4"/>
        <v>0</v>
      </c>
      <c r="Z40" s="33"/>
      <c r="AA40" s="110">
        <f t="shared" si="55"/>
        <v>0</v>
      </c>
      <c r="AB40" s="110">
        <f t="shared" si="56"/>
        <v>0</v>
      </c>
      <c r="AC40" s="72"/>
      <c r="AD40" s="72"/>
      <c r="AE40" s="72"/>
      <c r="AF40" s="72"/>
      <c r="AG40" s="72"/>
      <c r="AH40" s="33"/>
      <c r="AI40" s="33"/>
      <c r="AJ40" s="33">
        <f t="shared" si="57"/>
        <v>0</v>
      </c>
      <c r="AK40" s="60"/>
      <c r="AL40" s="33"/>
      <c r="AM40" s="27">
        <f t="shared" si="6"/>
        <v>0</v>
      </c>
      <c r="AN40" s="61">
        <f t="shared" si="7"/>
        <v>0</v>
      </c>
      <c r="AO40" s="62">
        <f t="shared" si="8"/>
        <v>0</v>
      </c>
      <c r="AQ40" s="33"/>
      <c r="AR40" s="33"/>
      <c r="AS40" s="33"/>
      <c r="AT40" s="60"/>
      <c r="AU40" s="33"/>
      <c r="AV40" s="33"/>
      <c r="AW40" s="33">
        <f t="shared" si="58"/>
        <v>0</v>
      </c>
      <c r="AX40" s="76">
        <f t="shared" si="59"/>
        <v>0</v>
      </c>
      <c r="AY40" s="76">
        <f t="shared" si="60"/>
        <v>0</v>
      </c>
      <c r="BE40" s="33"/>
      <c r="BF40" s="33"/>
      <c r="BG40" s="78">
        <f t="shared" si="61"/>
        <v>0</v>
      </c>
      <c r="BH40" s="33"/>
      <c r="BI40" s="78">
        <f t="shared" si="62"/>
        <v>0</v>
      </c>
      <c r="BJ40" s="78">
        <f t="shared" si="63"/>
        <v>0</v>
      </c>
      <c r="BK40" s="33"/>
      <c r="BL40" s="79">
        <f t="shared" si="64"/>
        <v>0</v>
      </c>
      <c r="BM40" s="79">
        <f t="shared" si="65"/>
        <v>0</v>
      </c>
      <c r="BN40" s="32"/>
      <c r="BO40" s="32"/>
      <c r="BP40" s="33"/>
      <c r="BQ40" s="31">
        <f t="shared" si="10"/>
        <v>0</v>
      </c>
      <c r="BR40" s="31">
        <f t="shared" si="11"/>
        <v>0</v>
      </c>
      <c r="BS40" s="32"/>
      <c r="BT40" s="32"/>
      <c r="BU40" s="33"/>
      <c r="BV40" s="34">
        <f t="shared" si="12"/>
        <v>0</v>
      </c>
      <c r="BY40" s="82"/>
      <c r="BZ40" s="82"/>
      <c r="CC40" s="37"/>
      <c r="CD40" s="33"/>
    </row>
    <row r="41" spans="1:82" s="77" customFormat="1" ht="18" hidden="1" customHeight="1" x14ac:dyDescent="0.25">
      <c r="A41" s="99" t="s">
        <v>58</v>
      </c>
      <c r="B41" s="100"/>
      <c r="C41" s="101"/>
      <c r="D41" s="93"/>
      <c r="E41" s="98"/>
      <c r="F41" s="68" t="s">
        <v>187</v>
      </c>
      <c r="G41" s="111">
        <v>0</v>
      </c>
      <c r="H41" s="111"/>
      <c r="I41" s="111">
        <v>0</v>
      </c>
      <c r="J41" s="70"/>
      <c r="K41" s="111">
        <v>0</v>
      </c>
      <c r="L41" s="111"/>
      <c r="M41" s="111"/>
      <c r="N41" s="111"/>
      <c r="O41" s="111"/>
      <c r="P41" s="111">
        <f t="shared" si="67"/>
        <v>0</v>
      </c>
      <c r="Q41" s="111"/>
      <c r="R41" s="111"/>
      <c r="S41" s="111"/>
      <c r="T41" s="111">
        <f t="shared" si="25"/>
        <v>0</v>
      </c>
      <c r="U41" s="107">
        <f t="shared" si="26"/>
        <v>0</v>
      </c>
      <c r="V41" s="111">
        <f t="shared" si="27"/>
        <v>0</v>
      </c>
      <c r="W41" s="112"/>
      <c r="X41" s="109"/>
      <c r="Y41" s="24">
        <f t="shared" si="4"/>
        <v>0</v>
      </c>
      <c r="Z41" s="113"/>
      <c r="AA41" s="110">
        <f t="shared" si="55"/>
        <v>0</v>
      </c>
      <c r="AB41" s="110">
        <f t="shared" si="56"/>
        <v>0</v>
      </c>
      <c r="AC41" s="72"/>
      <c r="AD41" s="72"/>
      <c r="AE41" s="72"/>
      <c r="AF41" s="72"/>
      <c r="AG41" s="72"/>
      <c r="AH41" s="113"/>
      <c r="AI41" s="113"/>
      <c r="AJ41" s="113">
        <f t="shared" si="57"/>
        <v>0</v>
      </c>
      <c r="AK41" s="114"/>
      <c r="AL41" s="113"/>
      <c r="AM41" s="27">
        <f t="shared" si="6"/>
        <v>0</v>
      </c>
      <c r="AN41" s="61">
        <f t="shared" si="7"/>
        <v>0</v>
      </c>
      <c r="AO41" s="62">
        <f t="shared" si="8"/>
        <v>0</v>
      </c>
      <c r="AQ41" s="113"/>
      <c r="AR41" s="113"/>
      <c r="AS41" s="113"/>
      <c r="AT41" s="114"/>
      <c r="AU41" s="113"/>
      <c r="AV41" s="113"/>
      <c r="AW41" s="113">
        <f t="shared" si="58"/>
        <v>0</v>
      </c>
      <c r="AX41" s="76">
        <f t="shared" si="59"/>
        <v>0</v>
      </c>
      <c r="AY41" s="76">
        <f t="shared" si="60"/>
        <v>0</v>
      </c>
      <c r="BE41" s="113"/>
      <c r="BF41" s="113"/>
      <c r="BG41" s="78">
        <f t="shared" si="61"/>
        <v>0</v>
      </c>
      <c r="BH41" s="113"/>
      <c r="BI41" s="78">
        <f t="shared" si="62"/>
        <v>0</v>
      </c>
      <c r="BJ41" s="78">
        <f t="shared" si="63"/>
        <v>0</v>
      </c>
      <c r="BK41" s="113"/>
      <c r="BL41" s="79">
        <f t="shared" si="64"/>
        <v>0</v>
      </c>
      <c r="BM41" s="79">
        <f t="shared" si="65"/>
        <v>0</v>
      </c>
      <c r="BN41" s="32"/>
      <c r="BO41" s="32"/>
      <c r="BP41" s="113"/>
      <c r="BQ41" s="31">
        <f t="shared" si="10"/>
        <v>0</v>
      </c>
      <c r="BR41" s="31">
        <f t="shared" si="11"/>
        <v>0</v>
      </c>
      <c r="BS41" s="32"/>
      <c r="BT41" s="32"/>
      <c r="BU41" s="33"/>
      <c r="BV41" s="34">
        <f t="shared" si="12"/>
        <v>0</v>
      </c>
      <c r="BY41" s="82"/>
      <c r="BZ41" s="82"/>
      <c r="CC41" s="37"/>
      <c r="CD41" s="113"/>
    </row>
    <row r="42" spans="1:82" s="77" customFormat="1" ht="18" hidden="1" customHeight="1" x14ac:dyDescent="0.25">
      <c r="A42" s="99" t="s">
        <v>58</v>
      </c>
      <c r="B42" s="100"/>
      <c r="C42" s="101"/>
      <c r="D42" s="93"/>
      <c r="E42" s="98"/>
      <c r="F42" s="68" t="s">
        <v>188</v>
      </c>
      <c r="G42" s="111">
        <v>0</v>
      </c>
      <c r="H42" s="111"/>
      <c r="I42" s="111">
        <v>0</v>
      </c>
      <c r="J42" s="70"/>
      <c r="K42" s="111">
        <v>0</v>
      </c>
      <c r="L42" s="111"/>
      <c r="M42" s="111"/>
      <c r="N42" s="111"/>
      <c r="O42" s="111"/>
      <c r="P42" s="111">
        <f t="shared" si="67"/>
        <v>0</v>
      </c>
      <c r="Q42" s="111"/>
      <c r="R42" s="111"/>
      <c r="S42" s="111"/>
      <c r="T42" s="111">
        <f t="shared" si="25"/>
        <v>0</v>
      </c>
      <c r="U42" s="107">
        <f t="shared" si="26"/>
        <v>0</v>
      </c>
      <c r="V42" s="111">
        <f t="shared" si="27"/>
        <v>0</v>
      </c>
      <c r="W42" s="112"/>
      <c r="X42" s="109"/>
      <c r="Y42" s="24">
        <f t="shared" si="4"/>
        <v>0</v>
      </c>
      <c r="Z42" s="113"/>
      <c r="AA42" s="110">
        <f t="shared" si="55"/>
        <v>0</v>
      </c>
      <c r="AB42" s="110">
        <f t="shared" si="56"/>
        <v>0</v>
      </c>
      <c r="AC42" s="72"/>
      <c r="AD42" s="72"/>
      <c r="AE42" s="72"/>
      <c r="AF42" s="72"/>
      <c r="AG42" s="72"/>
      <c r="AH42" s="113"/>
      <c r="AI42" s="113"/>
      <c r="AJ42" s="113">
        <f t="shared" si="57"/>
        <v>0</v>
      </c>
      <c r="AK42" s="114"/>
      <c r="AL42" s="113"/>
      <c r="AM42" s="27">
        <f t="shared" si="6"/>
        <v>0</v>
      </c>
      <c r="AN42" s="61">
        <f t="shared" si="7"/>
        <v>0</v>
      </c>
      <c r="AO42" s="62">
        <f t="shared" si="8"/>
        <v>0</v>
      </c>
      <c r="AQ42" s="113"/>
      <c r="AR42" s="113"/>
      <c r="AS42" s="113"/>
      <c r="AT42" s="114"/>
      <c r="AU42" s="113"/>
      <c r="AV42" s="113"/>
      <c r="AW42" s="113">
        <f t="shared" si="58"/>
        <v>0</v>
      </c>
      <c r="AX42" s="76">
        <f t="shared" si="59"/>
        <v>0</v>
      </c>
      <c r="AY42" s="76">
        <f t="shared" si="60"/>
        <v>0</v>
      </c>
      <c r="BE42" s="113"/>
      <c r="BF42" s="113"/>
      <c r="BG42" s="78">
        <f t="shared" si="61"/>
        <v>0</v>
      </c>
      <c r="BH42" s="113"/>
      <c r="BI42" s="78">
        <f t="shared" si="62"/>
        <v>0</v>
      </c>
      <c r="BJ42" s="78">
        <f t="shared" si="63"/>
        <v>0</v>
      </c>
      <c r="BK42" s="113"/>
      <c r="BL42" s="79">
        <f t="shared" si="64"/>
        <v>0</v>
      </c>
      <c r="BM42" s="79">
        <f t="shared" si="65"/>
        <v>0</v>
      </c>
      <c r="BN42" s="32"/>
      <c r="BO42" s="32"/>
      <c r="BP42" s="113"/>
      <c r="BQ42" s="31">
        <f t="shared" si="10"/>
        <v>0</v>
      </c>
      <c r="BR42" s="31">
        <f t="shared" si="11"/>
        <v>0</v>
      </c>
      <c r="BS42" s="32"/>
      <c r="BT42" s="32"/>
      <c r="BU42" s="33"/>
      <c r="BV42" s="34">
        <f t="shared" si="12"/>
        <v>0</v>
      </c>
      <c r="BY42" s="82"/>
      <c r="BZ42" s="82"/>
      <c r="CC42" s="37"/>
      <c r="CD42" s="113"/>
    </row>
    <row r="43" spans="1:82" s="77" customFormat="1" ht="18" hidden="1" customHeight="1" x14ac:dyDescent="0.25">
      <c r="A43" s="99"/>
      <c r="B43" s="100"/>
      <c r="C43" s="101"/>
      <c r="D43" s="93"/>
      <c r="E43" s="98"/>
      <c r="F43" s="68" t="s">
        <v>189</v>
      </c>
      <c r="G43" s="115">
        <v>0</v>
      </c>
      <c r="H43" s="115"/>
      <c r="I43" s="115">
        <v>0</v>
      </c>
      <c r="J43" s="70"/>
      <c r="K43" s="115">
        <v>0</v>
      </c>
      <c r="L43" s="115"/>
      <c r="M43" s="115"/>
      <c r="N43" s="115"/>
      <c r="O43" s="115"/>
      <c r="P43" s="115">
        <f t="shared" si="67"/>
        <v>0</v>
      </c>
      <c r="Q43" s="115"/>
      <c r="R43" s="115"/>
      <c r="S43" s="115"/>
      <c r="T43" s="115">
        <f t="shared" si="25"/>
        <v>0</v>
      </c>
      <c r="U43" s="107">
        <f t="shared" si="26"/>
        <v>0</v>
      </c>
      <c r="V43" s="115">
        <f t="shared" si="27"/>
        <v>0</v>
      </c>
      <c r="W43" s="116"/>
      <c r="X43" s="109"/>
      <c r="Y43" s="24">
        <f t="shared" si="4"/>
        <v>0</v>
      </c>
      <c r="Z43" s="117"/>
      <c r="AA43" s="110">
        <f t="shared" si="55"/>
        <v>0</v>
      </c>
      <c r="AB43" s="110">
        <f t="shared" si="56"/>
        <v>0</v>
      </c>
      <c r="AC43" s="72"/>
      <c r="AD43" s="72"/>
      <c r="AE43" s="72"/>
      <c r="AF43" s="72"/>
      <c r="AG43" s="72"/>
      <c r="AH43" s="117"/>
      <c r="AI43" s="117"/>
      <c r="AJ43" s="117">
        <f t="shared" si="57"/>
        <v>0</v>
      </c>
      <c r="AK43" s="118"/>
      <c r="AL43" s="117"/>
      <c r="AM43" s="27">
        <f t="shared" si="6"/>
        <v>0</v>
      </c>
      <c r="AN43" s="61">
        <f t="shared" si="7"/>
        <v>0</v>
      </c>
      <c r="AO43" s="62">
        <f t="shared" si="8"/>
        <v>0</v>
      </c>
      <c r="AQ43" s="117"/>
      <c r="AR43" s="117"/>
      <c r="AS43" s="117"/>
      <c r="AT43" s="118"/>
      <c r="AU43" s="117"/>
      <c r="AV43" s="117"/>
      <c r="AW43" s="117">
        <f t="shared" si="58"/>
        <v>0</v>
      </c>
      <c r="AX43" s="76">
        <f t="shared" si="59"/>
        <v>0</v>
      </c>
      <c r="AY43" s="76">
        <f t="shared" si="60"/>
        <v>0</v>
      </c>
      <c r="BE43" s="117"/>
      <c r="BF43" s="117"/>
      <c r="BG43" s="78">
        <f t="shared" si="61"/>
        <v>0</v>
      </c>
      <c r="BH43" s="117"/>
      <c r="BI43" s="78">
        <f t="shared" si="62"/>
        <v>0</v>
      </c>
      <c r="BJ43" s="78">
        <f t="shared" si="63"/>
        <v>0</v>
      </c>
      <c r="BK43" s="117"/>
      <c r="BL43" s="79">
        <f t="shared" si="64"/>
        <v>0</v>
      </c>
      <c r="BM43" s="79">
        <f t="shared" si="65"/>
        <v>0</v>
      </c>
      <c r="BN43" s="32"/>
      <c r="BO43" s="32"/>
      <c r="BP43" s="117"/>
      <c r="BQ43" s="31">
        <f t="shared" si="10"/>
        <v>0</v>
      </c>
      <c r="BR43" s="31">
        <f t="shared" si="11"/>
        <v>0</v>
      </c>
      <c r="BS43" s="32"/>
      <c r="BT43" s="32"/>
      <c r="BU43" s="33"/>
      <c r="BV43" s="34">
        <f t="shared" si="12"/>
        <v>0</v>
      </c>
      <c r="BY43" s="82"/>
      <c r="BZ43" s="82"/>
      <c r="CC43" s="37"/>
      <c r="CD43" s="117"/>
    </row>
    <row r="44" spans="1:82" s="77" customFormat="1" ht="18" hidden="1" customHeight="1" x14ac:dyDescent="0.25">
      <c r="A44" s="99" t="s">
        <v>58</v>
      </c>
      <c r="B44" s="100"/>
      <c r="C44" s="119" t="s">
        <v>190</v>
      </c>
      <c r="D44" s="119"/>
      <c r="E44" s="120"/>
      <c r="F44" s="40"/>
      <c r="G44" s="20">
        <v>0</v>
      </c>
      <c r="H44" s="20"/>
      <c r="I44" s="20">
        <v>0</v>
      </c>
      <c r="J44" s="70"/>
      <c r="K44" s="20">
        <v>0</v>
      </c>
      <c r="L44" s="20"/>
      <c r="M44" s="20"/>
      <c r="N44" s="20"/>
      <c r="O44" s="20"/>
      <c r="P44" s="20">
        <f t="shared" si="67"/>
        <v>0</v>
      </c>
      <c r="Q44" s="20"/>
      <c r="R44" s="20"/>
      <c r="S44" s="20"/>
      <c r="T44" s="20">
        <f t="shared" si="25"/>
        <v>0</v>
      </c>
      <c r="U44" s="21">
        <f t="shared" si="26"/>
        <v>0</v>
      </c>
      <c r="V44" s="20">
        <f t="shared" si="27"/>
        <v>0</v>
      </c>
      <c r="W44" s="22"/>
      <c r="X44" s="23"/>
      <c r="Y44" s="24">
        <f t="shared" si="4"/>
        <v>0</v>
      </c>
      <c r="Z44" s="25"/>
      <c r="AA44" s="110">
        <f t="shared" si="55"/>
        <v>0</v>
      </c>
      <c r="AB44" s="110">
        <f t="shared" si="56"/>
        <v>0</v>
      </c>
      <c r="AC44" s="72"/>
      <c r="AD44" s="72"/>
      <c r="AE44" s="72"/>
      <c r="AF44" s="72"/>
      <c r="AG44" s="72"/>
      <c r="AH44" s="25"/>
      <c r="AI44" s="25"/>
      <c r="AJ44" s="25">
        <f t="shared" si="57"/>
        <v>0</v>
      </c>
      <c r="AK44" s="26"/>
      <c r="AL44" s="25"/>
      <c r="AM44" s="27">
        <f t="shared" si="6"/>
        <v>0</v>
      </c>
      <c r="AN44" s="61">
        <f t="shared" si="7"/>
        <v>0</v>
      </c>
      <c r="AO44" s="62">
        <f t="shared" si="8"/>
        <v>0</v>
      </c>
      <c r="AQ44" s="25"/>
      <c r="AR44" s="25"/>
      <c r="AS44" s="25"/>
      <c r="AT44" s="26"/>
      <c r="AU44" s="25"/>
      <c r="AV44" s="25"/>
      <c r="AW44" s="25">
        <f t="shared" si="58"/>
        <v>0</v>
      </c>
      <c r="AX44" s="76">
        <f t="shared" si="59"/>
        <v>0</v>
      </c>
      <c r="AY44" s="76">
        <f t="shared" si="60"/>
        <v>0</v>
      </c>
      <c r="BE44" s="25"/>
      <c r="BF44" s="25"/>
      <c r="BG44" s="78">
        <f t="shared" si="61"/>
        <v>0</v>
      </c>
      <c r="BH44" s="25"/>
      <c r="BI44" s="78">
        <f t="shared" si="62"/>
        <v>0</v>
      </c>
      <c r="BJ44" s="78">
        <f t="shared" si="63"/>
        <v>0</v>
      </c>
      <c r="BK44" s="25"/>
      <c r="BL44" s="79">
        <f t="shared" si="64"/>
        <v>0</v>
      </c>
      <c r="BM44" s="79">
        <f t="shared" si="65"/>
        <v>0</v>
      </c>
      <c r="BN44" s="32"/>
      <c r="BO44" s="32"/>
      <c r="BP44" s="25"/>
      <c r="BQ44" s="31">
        <f t="shared" si="10"/>
        <v>0</v>
      </c>
      <c r="BR44" s="31">
        <f t="shared" si="11"/>
        <v>0</v>
      </c>
      <c r="BS44" s="32"/>
      <c r="BT44" s="32"/>
      <c r="BU44" s="33"/>
      <c r="BV44" s="34">
        <f t="shared" si="12"/>
        <v>0</v>
      </c>
      <c r="BY44" s="82"/>
      <c r="BZ44" s="82"/>
      <c r="CC44" s="37"/>
      <c r="CD44" s="25"/>
    </row>
    <row r="45" spans="1:82" s="77" customFormat="1" ht="18" hidden="1" customHeight="1" x14ac:dyDescent="0.25">
      <c r="A45" s="99" t="s">
        <v>58</v>
      </c>
      <c r="B45" s="100"/>
      <c r="C45" s="101"/>
      <c r="D45" s="93" t="s">
        <v>191</v>
      </c>
      <c r="E45" s="98"/>
      <c r="F45" s="104"/>
      <c r="G45" s="46">
        <v>0</v>
      </c>
      <c r="H45" s="46"/>
      <c r="I45" s="46">
        <v>0</v>
      </c>
      <c r="J45" s="70"/>
      <c r="K45" s="46">
        <v>0</v>
      </c>
      <c r="L45" s="46"/>
      <c r="M45" s="46"/>
      <c r="N45" s="46"/>
      <c r="O45" s="46"/>
      <c r="P45" s="46">
        <f t="shared" si="67"/>
        <v>0</v>
      </c>
      <c r="Q45" s="46"/>
      <c r="R45" s="46"/>
      <c r="S45" s="46"/>
      <c r="T45" s="46">
        <f t="shared" si="25"/>
        <v>0</v>
      </c>
      <c r="U45" s="21">
        <f t="shared" si="26"/>
        <v>0</v>
      </c>
      <c r="V45" s="46">
        <f t="shared" si="27"/>
        <v>0</v>
      </c>
      <c r="W45" s="47"/>
      <c r="X45" s="23"/>
      <c r="Y45" s="24">
        <f t="shared" si="4"/>
        <v>0</v>
      </c>
      <c r="Z45" s="48"/>
      <c r="AA45" s="110">
        <f t="shared" si="55"/>
        <v>0</v>
      </c>
      <c r="AB45" s="110">
        <f t="shared" si="56"/>
        <v>0</v>
      </c>
      <c r="AC45" s="72"/>
      <c r="AD45" s="72"/>
      <c r="AE45" s="72"/>
      <c r="AF45" s="72"/>
      <c r="AG45" s="72"/>
      <c r="AH45" s="48"/>
      <c r="AI45" s="48"/>
      <c r="AJ45" s="48">
        <f t="shared" si="57"/>
        <v>0</v>
      </c>
      <c r="AK45" s="49"/>
      <c r="AL45" s="48"/>
      <c r="AM45" s="27">
        <f t="shared" si="6"/>
        <v>0</v>
      </c>
      <c r="AN45" s="61">
        <f t="shared" si="7"/>
        <v>0</v>
      </c>
      <c r="AO45" s="62">
        <f t="shared" si="8"/>
        <v>0</v>
      </c>
      <c r="AQ45" s="48"/>
      <c r="AR45" s="48"/>
      <c r="AS45" s="48"/>
      <c r="AT45" s="49"/>
      <c r="AU45" s="48"/>
      <c r="AV45" s="48"/>
      <c r="AW45" s="48">
        <f t="shared" si="58"/>
        <v>0</v>
      </c>
      <c r="AX45" s="76">
        <f t="shared" si="59"/>
        <v>0</v>
      </c>
      <c r="AY45" s="76">
        <f t="shared" si="60"/>
        <v>0</v>
      </c>
      <c r="BE45" s="48"/>
      <c r="BF45" s="48"/>
      <c r="BG45" s="78">
        <f t="shared" si="61"/>
        <v>0</v>
      </c>
      <c r="BH45" s="48"/>
      <c r="BI45" s="78">
        <f t="shared" si="62"/>
        <v>0</v>
      </c>
      <c r="BJ45" s="78">
        <f t="shared" si="63"/>
        <v>0</v>
      </c>
      <c r="BK45" s="48"/>
      <c r="BL45" s="79">
        <f t="shared" si="64"/>
        <v>0</v>
      </c>
      <c r="BM45" s="79">
        <f t="shared" si="65"/>
        <v>0</v>
      </c>
      <c r="BN45" s="32"/>
      <c r="BO45" s="32"/>
      <c r="BP45" s="48"/>
      <c r="BQ45" s="31">
        <f t="shared" si="10"/>
        <v>0</v>
      </c>
      <c r="BR45" s="31">
        <f t="shared" si="11"/>
        <v>0</v>
      </c>
      <c r="BS45" s="32"/>
      <c r="BT45" s="32"/>
      <c r="BU45" s="33"/>
      <c r="BV45" s="34">
        <f t="shared" si="12"/>
        <v>0</v>
      </c>
      <c r="BY45" s="82"/>
      <c r="BZ45" s="82"/>
      <c r="CC45" s="37"/>
      <c r="CD45" s="48"/>
    </row>
    <row r="46" spans="1:82" s="77" customFormat="1" ht="18" hidden="1" customHeight="1" x14ac:dyDescent="0.25">
      <c r="A46" s="99" t="s">
        <v>58</v>
      </c>
      <c r="B46" s="100"/>
      <c r="C46" s="101"/>
      <c r="D46" s="93"/>
      <c r="E46" s="98" t="s">
        <v>191</v>
      </c>
      <c r="F46" s="105"/>
      <c r="G46" s="55">
        <v>0</v>
      </c>
      <c r="H46" s="55"/>
      <c r="I46" s="55">
        <v>0</v>
      </c>
      <c r="J46" s="70"/>
      <c r="K46" s="55">
        <v>0</v>
      </c>
      <c r="L46" s="55"/>
      <c r="M46" s="55"/>
      <c r="N46" s="55"/>
      <c r="O46" s="55"/>
      <c r="P46" s="55">
        <f t="shared" si="67"/>
        <v>0</v>
      </c>
      <c r="Q46" s="55"/>
      <c r="R46" s="55"/>
      <c r="S46" s="55"/>
      <c r="T46" s="55">
        <f t="shared" si="25"/>
        <v>0</v>
      </c>
      <c r="U46" s="56">
        <f t="shared" si="26"/>
        <v>0</v>
      </c>
      <c r="V46" s="55">
        <f t="shared" si="27"/>
        <v>0</v>
      </c>
      <c r="W46" s="57"/>
      <c r="X46" s="58"/>
      <c r="Y46" s="24">
        <f t="shared" si="4"/>
        <v>0</v>
      </c>
      <c r="Z46" s="33"/>
      <c r="AA46" s="110">
        <f t="shared" si="55"/>
        <v>0</v>
      </c>
      <c r="AB46" s="110">
        <f t="shared" si="56"/>
        <v>0</v>
      </c>
      <c r="AC46" s="72"/>
      <c r="AD46" s="72"/>
      <c r="AE46" s="72"/>
      <c r="AF46" s="72"/>
      <c r="AG46" s="72"/>
      <c r="AH46" s="33"/>
      <c r="AI46" s="33"/>
      <c r="AJ46" s="33">
        <f t="shared" si="57"/>
        <v>0</v>
      </c>
      <c r="AK46" s="60"/>
      <c r="AL46" s="33"/>
      <c r="AM46" s="27">
        <f t="shared" si="6"/>
        <v>0</v>
      </c>
      <c r="AN46" s="61">
        <f t="shared" si="7"/>
        <v>0</v>
      </c>
      <c r="AO46" s="62">
        <f t="shared" si="8"/>
        <v>0</v>
      </c>
      <c r="AQ46" s="33"/>
      <c r="AR46" s="33"/>
      <c r="AS46" s="33"/>
      <c r="AT46" s="60"/>
      <c r="AU46" s="33"/>
      <c r="AV46" s="33"/>
      <c r="AW46" s="33">
        <f t="shared" si="58"/>
        <v>0</v>
      </c>
      <c r="AX46" s="76">
        <f t="shared" si="59"/>
        <v>0</v>
      </c>
      <c r="AY46" s="76">
        <f t="shared" si="60"/>
        <v>0</v>
      </c>
      <c r="BE46" s="33"/>
      <c r="BF46" s="33"/>
      <c r="BG46" s="78">
        <f t="shared" si="61"/>
        <v>0</v>
      </c>
      <c r="BH46" s="33"/>
      <c r="BI46" s="78">
        <f t="shared" si="62"/>
        <v>0</v>
      </c>
      <c r="BJ46" s="78">
        <f t="shared" si="63"/>
        <v>0</v>
      </c>
      <c r="BK46" s="33"/>
      <c r="BL46" s="79">
        <f t="shared" si="64"/>
        <v>0</v>
      </c>
      <c r="BM46" s="79">
        <f t="shared" si="65"/>
        <v>0</v>
      </c>
      <c r="BN46" s="32"/>
      <c r="BO46" s="32"/>
      <c r="BP46" s="33"/>
      <c r="BQ46" s="31">
        <f t="shared" si="10"/>
        <v>0</v>
      </c>
      <c r="BR46" s="31">
        <f t="shared" si="11"/>
        <v>0</v>
      </c>
      <c r="BS46" s="32"/>
      <c r="BT46" s="32"/>
      <c r="BU46" s="33"/>
      <c r="BV46" s="34">
        <f t="shared" si="12"/>
        <v>0</v>
      </c>
      <c r="BY46" s="82"/>
      <c r="BZ46" s="82"/>
      <c r="CC46" s="37"/>
      <c r="CD46" s="33"/>
    </row>
    <row r="47" spans="1:82" s="77" customFormat="1" ht="18" hidden="1" customHeight="1" x14ac:dyDescent="0.25">
      <c r="A47" s="99" t="s">
        <v>58</v>
      </c>
      <c r="B47" s="100"/>
      <c r="C47" s="101"/>
      <c r="D47" s="93"/>
      <c r="E47" s="98"/>
      <c r="F47" s="121" t="s">
        <v>191</v>
      </c>
      <c r="G47" s="115">
        <v>0</v>
      </c>
      <c r="H47" s="115"/>
      <c r="I47" s="115">
        <v>0</v>
      </c>
      <c r="J47" s="70"/>
      <c r="K47" s="115">
        <v>0</v>
      </c>
      <c r="L47" s="115"/>
      <c r="M47" s="115"/>
      <c r="N47" s="115"/>
      <c r="O47" s="115"/>
      <c r="P47" s="115">
        <f t="shared" si="67"/>
        <v>0</v>
      </c>
      <c r="Q47" s="115"/>
      <c r="R47" s="115"/>
      <c r="S47" s="115"/>
      <c r="T47" s="115">
        <f t="shared" si="25"/>
        <v>0</v>
      </c>
      <c r="U47" s="107">
        <f t="shared" si="26"/>
        <v>0</v>
      </c>
      <c r="V47" s="115">
        <f t="shared" si="27"/>
        <v>0</v>
      </c>
      <c r="W47" s="116"/>
      <c r="X47" s="109"/>
      <c r="Y47" s="24">
        <f t="shared" si="4"/>
        <v>0</v>
      </c>
      <c r="Z47" s="117"/>
      <c r="AA47" s="110">
        <f t="shared" si="55"/>
        <v>0</v>
      </c>
      <c r="AB47" s="110">
        <f t="shared" si="56"/>
        <v>0</v>
      </c>
      <c r="AC47" s="72"/>
      <c r="AD47" s="72"/>
      <c r="AE47" s="72"/>
      <c r="AF47" s="72"/>
      <c r="AG47" s="72"/>
      <c r="AH47" s="117"/>
      <c r="AI47" s="117"/>
      <c r="AJ47" s="117">
        <f t="shared" si="57"/>
        <v>0</v>
      </c>
      <c r="AK47" s="118"/>
      <c r="AL47" s="117"/>
      <c r="AM47" s="27">
        <f t="shared" si="6"/>
        <v>0</v>
      </c>
      <c r="AN47" s="61">
        <f t="shared" si="7"/>
        <v>0</v>
      </c>
      <c r="AO47" s="62">
        <f t="shared" si="8"/>
        <v>0</v>
      </c>
      <c r="AQ47" s="117"/>
      <c r="AR47" s="117"/>
      <c r="AS47" s="117"/>
      <c r="AT47" s="118"/>
      <c r="AU47" s="117"/>
      <c r="AV47" s="117"/>
      <c r="AW47" s="117">
        <f t="shared" si="58"/>
        <v>0</v>
      </c>
      <c r="AX47" s="76">
        <f t="shared" si="59"/>
        <v>0</v>
      </c>
      <c r="AY47" s="76">
        <f t="shared" si="60"/>
        <v>0</v>
      </c>
      <c r="BE47" s="117"/>
      <c r="BF47" s="117"/>
      <c r="BG47" s="78">
        <f t="shared" si="61"/>
        <v>0</v>
      </c>
      <c r="BH47" s="117"/>
      <c r="BI47" s="78">
        <f t="shared" si="62"/>
        <v>0</v>
      </c>
      <c r="BJ47" s="78">
        <f t="shared" si="63"/>
        <v>0</v>
      </c>
      <c r="BK47" s="117"/>
      <c r="BL47" s="79">
        <f t="shared" si="64"/>
        <v>0</v>
      </c>
      <c r="BM47" s="79">
        <f t="shared" si="65"/>
        <v>0</v>
      </c>
      <c r="BN47" s="32"/>
      <c r="BO47" s="32"/>
      <c r="BP47" s="117"/>
      <c r="BQ47" s="31">
        <f t="shared" si="10"/>
        <v>0</v>
      </c>
      <c r="BR47" s="31">
        <f t="shared" si="11"/>
        <v>0</v>
      </c>
      <c r="BS47" s="32"/>
      <c r="BT47" s="32"/>
      <c r="BU47" s="33"/>
      <c r="BV47" s="34">
        <f t="shared" si="12"/>
        <v>0</v>
      </c>
      <c r="BY47" s="82"/>
      <c r="BZ47" s="82"/>
      <c r="CC47" s="37"/>
      <c r="CD47" s="117"/>
    </row>
    <row r="48" spans="1:82" s="35" customFormat="1" ht="18" customHeight="1" x14ac:dyDescent="0.25">
      <c r="A48" s="38" t="s">
        <v>58</v>
      </c>
      <c r="B48" s="39"/>
      <c r="C48" s="119" t="s">
        <v>192</v>
      </c>
      <c r="D48" s="119"/>
      <c r="E48" s="122"/>
      <c r="F48" s="40"/>
      <c r="G48" s="20">
        <v>2916250</v>
      </c>
      <c r="H48" s="20">
        <v>1961810</v>
      </c>
      <c r="I48" s="20">
        <f t="shared" ref="I48:Q48" si="68">I49+I59</f>
        <v>1429300</v>
      </c>
      <c r="J48" s="20" t="e">
        <f t="shared" si="68"/>
        <v>#VALUE!</v>
      </c>
      <c r="K48" s="20">
        <f t="shared" si="68"/>
        <v>2518825.16</v>
      </c>
      <c r="L48" s="20">
        <f t="shared" si="68"/>
        <v>5487483.5300000003</v>
      </c>
      <c r="M48" s="20">
        <f t="shared" si="68"/>
        <v>589107.28441624355</v>
      </c>
      <c r="N48" s="20">
        <f t="shared" si="68"/>
        <v>1331675.1599999999</v>
      </c>
      <c r="O48" s="20">
        <f t="shared" si="68"/>
        <v>1413087.16</v>
      </c>
      <c r="P48" s="20">
        <f t="shared" si="68"/>
        <v>-97624.84000000004</v>
      </c>
      <c r="Q48" s="20">
        <f t="shared" si="68"/>
        <v>964473.95000000007</v>
      </c>
      <c r="R48" s="20"/>
      <c r="S48" s="20">
        <f>S49+S59</f>
        <v>1730848.0866666669</v>
      </c>
      <c r="T48" s="20">
        <f t="shared" si="25"/>
        <v>301548.0866666669</v>
      </c>
      <c r="U48" s="21">
        <f t="shared" si="26"/>
        <v>-787977.07333333325</v>
      </c>
      <c r="V48" s="20">
        <f t="shared" si="27"/>
        <v>317760.92666666699</v>
      </c>
      <c r="W48" s="22"/>
      <c r="X48" s="23">
        <f>X49+X59</f>
        <v>1945585.7115151514</v>
      </c>
      <c r="Y48" s="24">
        <f t="shared" si="4"/>
        <v>214737.62484848453</v>
      </c>
      <c r="Z48" s="25">
        <f t="shared" ref="Z48:AL48" si="69">Z49+Z59</f>
        <v>1722106</v>
      </c>
      <c r="AA48" s="25">
        <f t="shared" si="69"/>
        <v>288506</v>
      </c>
      <c r="AB48" s="25">
        <f t="shared" si="69"/>
        <v>-14294.086666666706</v>
      </c>
      <c r="AC48" s="25">
        <f t="shared" si="69"/>
        <v>920645.42999999993</v>
      </c>
      <c r="AD48" s="25">
        <f t="shared" si="69"/>
        <v>941583.03004974534</v>
      </c>
      <c r="AE48" s="25">
        <f t="shared" si="69"/>
        <v>20937.600049745408</v>
      </c>
      <c r="AF48" s="25">
        <f t="shared" si="69"/>
        <v>0</v>
      </c>
      <c r="AG48" s="25">
        <f t="shared" si="69"/>
        <v>0</v>
      </c>
      <c r="AH48" s="25">
        <f t="shared" si="69"/>
        <v>1722106.24</v>
      </c>
      <c r="AI48" s="25">
        <f t="shared" si="69"/>
        <v>1766298.2071428571</v>
      </c>
      <c r="AJ48" s="25">
        <f t="shared" si="69"/>
        <v>0.24000000000000909</v>
      </c>
      <c r="AK48" s="26">
        <f t="shared" si="69"/>
        <v>1946509.61974</v>
      </c>
      <c r="AL48" s="25">
        <f t="shared" si="69"/>
        <v>1846290.7454545458</v>
      </c>
      <c r="AM48" s="27">
        <f t="shared" si="6"/>
        <v>79992.538311688695</v>
      </c>
      <c r="AN48" s="28">
        <f t="shared" si="7"/>
        <v>124184.74545454583</v>
      </c>
      <c r="AO48" s="50">
        <f t="shared" si="8"/>
        <v>44192.207142857136</v>
      </c>
      <c r="AQ48" s="25"/>
      <c r="AR48" s="25"/>
      <c r="AS48" s="25"/>
      <c r="AT48" s="26">
        <f t="shared" ref="AT48:BP48" si="70">AT49+AT59</f>
        <v>1708264.2827272727</v>
      </c>
      <c r="AU48" s="25">
        <f t="shared" si="70"/>
        <v>1983257.54</v>
      </c>
      <c r="AV48" s="25">
        <f t="shared" si="70"/>
        <v>1707800</v>
      </c>
      <c r="AW48" s="25">
        <f t="shared" si="70"/>
        <v>-14306</v>
      </c>
      <c r="AX48" s="25">
        <f t="shared" si="70"/>
        <v>-13841.717272727299</v>
      </c>
      <c r="AY48" s="25">
        <f t="shared" si="70"/>
        <v>-138026.46272727291</v>
      </c>
      <c r="AZ48" s="25">
        <f t="shared" si="70"/>
        <v>0</v>
      </c>
      <c r="BA48" s="25">
        <f t="shared" si="70"/>
        <v>0</v>
      </c>
      <c r="BB48" s="25">
        <f t="shared" si="70"/>
        <v>0</v>
      </c>
      <c r="BC48" s="25">
        <f t="shared" si="70"/>
        <v>0</v>
      </c>
      <c r="BD48" s="25">
        <f t="shared" si="70"/>
        <v>0</v>
      </c>
      <c r="BE48" s="25">
        <f t="shared" si="70"/>
        <v>1707800</v>
      </c>
      <c r="BF48" s="25">
        <f t="shared" si="70"/>
        <v>2406060.904285714</v>
      </c>
      <c r="BG48" s="25">
        <f t="shared" si="70"/>
        <v>0</v>
      </c>
      <c r="BH48" s="25">
        <f t="shared" si="70"/>
        <v>2407980.9966666666</v>
      </c>
      <c r="BI48" s="25">
        <f t="shared" si="70"/>
        <v>698260.90428571415</v>
      </c>
      <c r="BJ48" s="25">
        <f t="shared" si="70"/>
        <v>422803.36428571405</v>
      </c>
      <c r="BK48" s="25">
        <f t="shared" si="70"/>
        <v>3856412.4972727275</v>
      </c>
      <c r="BL48" s="25">
        <f t="shared" si="70"/>
        <v>1448431.500606061</v>
      </c>
      <c r="BM48" s="25">
        <f t="shared" si="70"/>
        <v>2148612.4972727275</v>
      </c>
      <c r="BN48" s="25">
        <f t="shared" si="70"/>
        <v>0</v>
      </c>
      <c r="BO48" s="25">
        <f t="shared" si="70"/>
        <v>0</v>
      </c>
      <c r="BP48" s="25">
        <f t="shared" si="70"/>
        <v>3857917.48</v>
      </c>
      <c r="BQ48" s="31">
        <f t="shared" si="10"/>
        <v>1504.982727272436</v>
      </c>
      <c r="BR48" s="31">
        <f t="shared" si="11"/>
        <v>2150117.48</v>
      </c>
      <c r="BS48" s="32"/>
      <c r="BT48" s="32"/>
      <c r="BU48" s="33"/>
      <c r="BV48" s="34">
        <f t="shared" si="12"/>
        <v>700180.99666666659</v>
      </c>
      <c r="BY48" s="36"/>
      <c r="BZ48" s="36"/>
      <c r="CC48" s="37"/>
      <c r="CD48" s="25">
        <f>CD49+CD59</f>
        <v>1983257.54</v>
      </c>
    </row>
    <row r="49" spans="1:82" s="35" customFormat="1" ht="18" customHeight="1" x14ac:dyDescent="0.25">
      <c r="A49" s="38" t="s">
        <v>58</v>
      </c>
      <c r="B49" s="39"/>
      <c r="C49" s="93"/>
      <c r="D49" s="43" t="s">
        <v>193</v>
      </c>
      <c r="E49" s="44"/>
      <c r="F49" s="45"/>
      <c r="G49" s="46">
        <v>1825750</v>
      </c>
      <c r="H49" s="46">
        <v>893400</v>
      </c>
      <c r="I49" s="46">
        <f t="shared" ref="I49:Q49" si="71">I50+I54+I57</f>
        <v>512100</v>
      </c>
      <c r="J49" s="46" t="e">
        <f t="shared" si="71"/>
        <v>#VALUE!</v>
      </c>
      <c r="K49" s="46">
        <f t="shared" si="71"/>
        <v>1486239.31</v>
      </c>
      <c r="L49" s="46">
        <f t="shared" si="71"/>
        <v>5143678.0600000005</v>
      </c>
      <c r="M49" s="46">
        <f t="shared" si="71"/>
        <v>180326.29441624365</v>
      </c>
      <c r="N49" s="46">
        <f t="shared" si="71"/>
        <v>475466</v>
      </c>
      <c r="O49" s="46">
        <f t="shared" si="71"/>
        <v>475466</v>
      </c>
      <c r="P49" s="46">
        <f t="shared" si="71"/>
        <v>-36634</v>
      </c>
      <c r="Q49" s="46">
        <f t="shared" si="71"/>
        <v>320257.01</v>
      </c>
      <c r="R49" s="46"/>
      <c r="S49" s="46">
        <f>S50+S54+S57</f>
        <v>480971.77</v>
      </c>
      <c r="T49" s="46">
        <f t="shared" si="25"/>
        <v>-31128.229999999981</v>
      </c>
      <c r="U49" s="21">
        <f t="shared" si="26"/>
        <v>-1005267.54</v>
      </c>
      <c r="V49" s="46">
        <f t="shared" si="27"/>
        <v>5505.7700000000186</v>
      </c>
      <c r="W49" s="47"/>
      <c r="X49" s="23">
        <f>X50+X54+X57</f>
        <v>610621.72</v>
      </c>
      <c r="Y49" s="24">
        <f t="shared" si="4"/>
        <v>129649.94999999995</v>
      </c>
      <c r="Z49" s="48">
        <f t="shared" ref="Z49:AL49" si="72">Z50+Z54+Z57</f>
        <v>503567</v>
      </c>
      <c r="AA49" s="48">
        <f t="shared" si="72"/>
        <v>-8533</v>
      </c>
      <c r="AB49" s="48">
        <f t="shared" si="72"/>
        <v>22595.229999999989</v>
      </c>
      <c r="AC49" s="48">
        <f t="shared" si="72"/>
        <v>0</v>
      </c>
      <c r="AD49" s="48">
        <f t="shared" si="72"/>
        <v>0</v>
      </c>
      <c r="AE49" s="48">
        <f t="shared" si="72"/>
        <v>0</v>
      </c>
      <c r="AF49" s="48">
        <f t="shared" si="72"/>
        <v>0</v>
      </c>
      <c r="AG49" s="48">
        <f t="shared" si="72"/>
        <v>0</v>
      </c>
      <c r="AH49" s="48">
        <f t="shared" si="72"/>
        <v>503567</v>
      </c>
      <c r="AI49" s="48">
        <f t="shared" si="72"/>
        <v>428840</v>
      </c>
      <c r="AJ49" s="48">
        <f t="shared" si="72"/>
        <v>0</v>
      </c>
      <c r="AK49" s="49">
        <f t="shared" si="72"/>
        <v>428840</v>
      </c>
      <c r="AL49" s="48">
        <f t="shared" si="72"/>
        <v>431542</v>
      </c>
      <c r="AM49" s="27">
        <f t="shared" si="6"/>
        <v>2702</v>
      </c>
      <c r="AN49" s="28">
        <f t="shared" si="7"/>
        <v>-72025</v>
      </c>
      <c r="AO49" s="50">
        <f t="shared" si="8"/>
        <v>-74727</v>
      </c>
      <c r="AQ49" s="48"/>
      <c r="AR49" s="48"/>
      <c r="AS49" s="48"/>
      <c r="AT49" s="49">
        <f t="shared" ref="AT49:BP49" si="73">AT50+AT54+AT57</f>
        <v>415994</v>
      </c>
      <c r="AU49" s="48">
        <f t="shared" si="73"/>
        <v>414359.93999999994</v>
      </c>
      <c r="AV49" s="48">
        <f t="shared" si="73"/>
        <v>415900</v>
      </c>
      <c r="AW49" s="48">
        <f t="shared" si="73"/>
        <v>-87667</v>
      </c>
      <c r="AX49" s="48">
        <f t="shared" si="73"/>
        <v>-87573</v>
      </c>
      <c r="AY49" s="48">
        <f t="shared" si="73"/>
        <v>-15548</v>
      </c>
      <c r="AZ49" s="48">
        <f t="shared" si="73"/>
        <v>0</v>
      </c>
      <c r="BA49" s="48">
        <f t="shared" si="73"/>
        <v>0</v>
      </c>
      <c r="BB49" s="48">
        <f t="shared" si="73"/>
        <v>0</v>
      </c>
      <c r="BC49" s="48">
        <f t="shared" si="73"/>
        <v>0</v>
      </c>
      <c r="BD49" s="48">
        <f t="shared" si="73"/>
        <v>0</v>
      </c>
      <c r="BE49" s="48">
        <f t="shared" si="73"/>
        <v>415900</v>
      </c>
      <c r="BF49" s="48">
        <f t="shared" si="73"/>
        <v>420900</v>
      </c>
      <c r="BG49" s="48">
        <f t="shared" si="73"/>
        <v>0</v>
      </c>
      <c r="BH49" s="48">
        <f t="shared" si="73"/>
        <v>420900</v>
      </c>
      <c r="BI49" s="48">
        <f t="shared" si="73"/>
        <v>5000</v>
      </c>
      <c r="BJ49" s="48">
        <f t="shared" si="73"/>
        <v>6540.0600000000195</v>
      </c>
      <c r="BK49" s="48">
        <f t="shared" si="73"/>
        <v>393991.82999999996</v>
      </c>
      <c r="BL49" s="48">
        <f t="shared" si="73"/>
        <v>-26908.170000000013</v>
      </c>
      <c r="BM49" s="48">
        <f t="shared" si="73"/>
        <v>-21908.170000000013</v>
      </c>
      <c r="BN49" s="48">
        <f t="shared" si="73"/>
        <v>0</v>
      </c>
      <c r="BO49" s="48">
        <f t="shared" si="73"/>
        <v>0</v>
      </c>
      <c r="BP49" s="48">
        <f t="shared" si="73"/>
        <v>393913.07999999996</v>
      </c>
      <c r="BQ49" s="31">
        <f t="shared" si="10"/>
        <v>-78.75</v>
      </c>
      <c r="BR49" s="31">
        <f t="shared" si="11"/>
        <v>-21986.920000000042</v>
      </c>
      <c r="BS49" s="32"/>
      <c r="BT49" s="32"/>
      <c r="BU49" s="33"/>
      <c r="BV49" s="34">
        <f t="shared" si="12"/>
        <v>5000</v>
      </c>
      <c r="BY49" s="36"/>
      <c r="BZ49" s="36"/>
      <c r="CC49" s="37"/>
      <c r="CD49" s="48">
        <f>CD50+CD54+CD57</f>
        <v>414359.93999999994</v>
      </c>
    </row>
    <row r="50" spans="1:82" s="63" customFormat="1" ht="18" customHeight="1" x14ac:dyDescent="0.25">
      <c r="A50" s="96" t="s">
        <v>58</v>
      </c>
      <c r="B50" s="97"/>
      <c r="C50" s="98"/>
      <c r="D50" s="44"/>
      <c r="E50" s="53" t="s">
        <v>194</v>
      </c>
      <c r="F50" s="54"/>
      <c r="G50" s="55">
        <v>276800</v>
      </c>
      <c r="H50" s="55">
        <v>276800</v>
      </c>
      <c r="I50" s="55">
        <f t="shared" ref="I50:Q50" si="74">SUM(I51:I53)</f>
        <v>265800</v>
      </c>
      <c r="J50" s="55">
        <f t="shared" si="74"/>
        <v>0</v>
      </c>
      <c r="K50" s="55">
        <f t="shared" si="74"/>
        <v>276382.34000000003</v>
      </c>
      <c r="L50" s="55">
        <f t="shared" si="74"/>
        <v>5123982.91</v>
      </c>
      <c r="M50" s="55">
        <f t="shared" si="74"/>
        <v>132900</v>
      </c>
      <c r="N50" s="55">
        <f t="shared" si="74"/>
        <v>265800</v>
      </c>
      <c r="O50" s="55">
        <f t="shared" si="74"/>
        <v>265800</v>
      </c>
      <c r="P50" s="55">
        <f t="shared" si="74"/>
        <v>0</v>
      </c>
      <c r="Q50" s="55">
        <f t="shared" si="74"/>
        <v>269425.3</v>
      </c>
      <c r="R50" s="55"/>
      <c r="S50" s="55">
        <f>SUM(S51:S53)</f>
        <v>269425.3</v>
      </c>
      <c r="T50" s="55">
        <f t="shared" si="25"/>
        <v>3625.2999999999884</v>
      </c>
      <c r="U50" s="56">
        <f t="shared" si="26"/>
        <v>-6957.0400000000373</v>
      </c>
      <c r="V50" s="55">
        <f t="shared" si="27"/>
        <v>3625.2999999999884</v>
      </c>
      <c r="W50" s="57"/>
      <c r="X50" s="58">
        <f>SUM(X51:X53)</f>
        <v>269425.3</v>
      </c>
      <c r="Y50" s="59">
        <f t="shared" si="4"/>
        <v>0</v>
      </c>
      <c r="Z50" s="33">
        <f t="shared" ref="Z50:AL50" si="75">SUM(Z51:Z53)</f>
        <v>269425</v>
      </c>
      <c r="AA50" s="33">
        <f t="shared" si="75"/>
        <v>3625</v>
      </c>
      <c r="AB50" s="33">
        <f t="shared" si="75"/>
        <v>-0.30000000001018634</v>
      </c>
      <c r="AC50" s="33">
        <f t="shared" si="75"/>
        <v>0</v>
      </c>
      <c r="AD50" s="33">
        <f t="shared" si="75"/>
        <v>0</v>
      </c>
      <c r="AE50" s="33">
        <f t="shared" si="75"/>
        <v>0</v>
      </c>
      <c r="AF50" s="33">
        <f t="shared" si="75"/>
        <v>0</v>
      </c>
      <c r="AG50" s="33">
        <f t="shared" si="75"/>
        <v>0</v>
      </c>
      <c r="AH50" s="33">
        <f t="shared" si="75"/>
        <v>269425</v>
      </c>
      <c r="AI50" s="33">
        <f t="shared" si="75"/>
        <v>241000</v>
      </c>
      <c r="AJ50" s="33">
        <f t="shared" si="75"/>
        <v>0</v>
      </c>
      <c r="AK50" s="60">
        <f t="shared" si="75"/>
        <v>241000</v>
      </c>
      <c r="AL50" s="33">
        <f t="shared" si="75"/>
        <v>243702</v>
      </c>
      <c r="AM50" s="27">
        <f t="shared" si="6"/>
        <v>2702</v>
      </c>
      <c r="AN50" s="61">
        <f t="shared" si="7"/>
        <v>-25723</v>
      </c>
      <c r="AO50" s="62">
        <f t="shared" si="8"/>
        <v>-28425</v>
      </c>
      <c r="AQ50" s="33"/>
      <c r="AR50" s="33"/>
      <c r="AS50" s="33"/>
      <c r="AT50" s="60">
        <f t="shared" ref="AT50:BP50" si="76">SUM(AT51:AT53)</f>
        <v>244000</v>
      </c>
      <c r="AU50" s="33">
        <f t="shared" si="76"/>
        <v>246344.33</v>
      </c>
      <c r="AV50" s="33">
        <f t="shared" si="76"/>
        <v>244000</v>
      </c>
      <c r="AW50" s="33">
        <f t="shared" si="76"/>
        <v>-25425</v>
      </c>
      <c r="AX50" s="33">
        <f t="shared" si="76"/>
        <v>-25425</v>
      </c>
      <c r="AY50" s="33">
        <f t="shared" si="76"/>
        <v>298</v>
      </c>
      <c r="AZ50" s="33">
        <f t="shared" si="76"/>
        <v>0</v>
      </c>
      <c r="BA50" s="33">
        <f t="shared" si="76"/>
        <v>0</v>
      </c>
      <c r="BB50" s="33">
        <f t="shared" si="76"/>
        <v>0</v>
      </c>
      <c r="BC50" s="33">
        <f t="shared" si="76"/>
        <v>0</v>
      </c>
      <c r="BD50" s="33">
        <f t="shared" si="76"/>
        <v>0</v>
      </c>
      <c r="BE50" s="33">
        <f t="shared" si="76"/>
        <v>244000</v>
      </c>
      <c r="BF50" s="33">
        <f t="shared" si="76"/>
        <v>244000</v>
      </c>
      <c r="BG50" s="33">
        <f t="shared" si="76"/>
        <v>0</v>
      </c>
      <c r="BH50" s="33">
        <f t="shared" si="76"/>
        <v>244000</v>
      </c>
      <c r="BI50" s="33">
        <f t="shared" si="76"/>
        <v>0</v>
      </c>
      <c r="BJ50" s="33">
        <f t="shared" si="76"/>
        <v>-2344.3299999999945</v>
      </c>
      <c r="BK50" s="33">
        <f t="shared" si="76"/>
        <v>244091.83</v>
      </c>
      <c r="BL50" s="33">
        <f t="shared" si="76"/>
        <v>91.829999999987194</v>
      </c>
      <c r="BM50" s="33">
        <f t="shared" si="76"/>
        <v>91.829999999987194</v>
      </c>
      <c r="BN50" s="33">
        <f t="shared" si="76"/>
        <v>0</v>
      </c>
      <c r="BO50" s="33">
        <f t="shared" si="76"/>
        <v>0</v>
      </c>
      <c r="BP50" s="33">
        <f t="shared" si="76"/>
        <v>244091.83</v>
      </c>
      <c r="BQ50" s="31">
        <f t="shared" si="10"/>
        <v>0</v>
      </c>
      <c r="BR50" s="31">
        <f t="shared" si="11"/>
        <v>91.829999999987194</v>
      </c>
      <c r="BS50" s="32"/>
      <c r="BT50" s="32"/>
      <c r="BU50" s="33"/>
      <c r="BV50" s="34">
        <f t="shared" si="12"/>
        <v>0</v>
      </c>
      <c r="BY50" s="64"/>
      <c r="BZ50" s="64"/>
      <c r="CC50" s="37"/>
      <c r="CD50" s="33">
        <f>SUM(CD51:CD53)</f>
        <v>246344.33</v>
      </c>
    </row>
    <row r="51" spans="1:82" s="77" customFormat="1" ht="18" customHeight="1" x14ac:dyDescent="0.25">
      <c r="A51" s="99" t="s">
        <v>58</v>
      </c>
      <c r="B51" s="100"/>
      <c r="C51" s="101"/>
      <c r="D51" s="43"/>
      <c r="E51" s="53"/>
      <c r="F51" s="68" t="s">
        <v>195</v>
      </c>
      <c r="G51" s="106">
        <v>200500</v>
      </c>
      <c r="H51" s="106">
        <v>200500</v>
      </c>
      <c r="I51" s="106">
        <v>200500</v>
      </c>
      <c r="J51" s="70" t="s">
        <v>196</v>
      </c>
      <c r="K51" s="106">
        <v>226074.23</v>
      </c>
      <c r="L51" s="106">
        <v>4881760.18</v>
      </c>
      <c r="M51" s="106">
        <f>I51/2</f>
        <v>100250</v>
      </c>
      <c r="N51" s="106">
        <f>M51*2</f>
        <v>200500</v>
      </c>
      <c r="O51" s="106">
        <f>I51</f>
        <v>200500</v>
      </c>
      <c r="P51" s="106">
        <f>N51-I51</f>
        <v>0</v>
      </c>
      <c r="Q51" s="106">
        <v>222403.17</v>
      </c>
      <c r="R51" s="106"/>
      <c r="S51" s="106">
        <v>222403.17</v>
      </c>
      <c r="T51" s="106">
        <f t="shared" si="25"/>
        <v>21903.170000000013</v>
      </c>
      <c r="U51" s="107">
        <f t="shared" si="26"/>
        <v>-3671.0599999999977</v>
      </c>
      <c r="V51" s="106">
        <f t="shared" si="27"/>
        <v>21903.170000000013</v>
      </c>
      <c r="W51" s="108"/>
      <c r="X51" s="109">
        <f>S51</f>
        <v>222403.17</v>
      </c>
      <c r="Y51" s="24">
        <f t="shared" si="4"/>
        <v>0</v>
      </c>
      <c r="Z51" s="85">
        <v>222403</v>
      </c>
      <c r="AA51" s="29">
        <f>Z51-I51</f>
        <v>21903</v>
      </c>
      <c r="AB51" s="29">
        <f>Z51-S51</f>
        <v>-0.17000000001280569</v>
      </c>
      <c r="AC51" s="72"/>
      <c r="AD51" s="72"/>
      <c r="AE51" s="72"/>
      <c r="AF51" s="72"/>
      <c r="AG51" s="72"/>
      <c r="AH51" s="33">
        <f>Z51</f>
        <v>222403</v>
      </c>
      <c r="AI51" s="85">
        <v>200500</v>
      </c>
      <c r="AJ51" s="33">
        <f t="shared" ref="AJ51:AJ56" si="77">AH51-Z51</f>
        <v>0</v>
      </c>
      <c r="AK51" s="60">
        <v>200500</v>
      </c>
      <c r="AL51" s="123">
        <v>200567</v>
      </c>
      <c r="AM51" s="27">
        <f t="shared" si="6"/>
        <v>67</v>
      </c>
      <c r="AN51" s="61">
        <f t="shared" si="7"/>
        <v>-21836</v>
      </c>
      <c r="AO51" s="62">
        <f t="shared" si="8"/>
        <v>-21903</v>
      </c>
      <c r="AQ51" s="85" t="s">
        <v>197</v>
      </c>
      <c r="AR51" s="85" t="s">
        <v>198</v>
      </c>
      <c r="AS51" s="85" t="s">
        <v>197</v>
      </c>
      <c r="AT51" s="86">
        <v>200500</v>
      </c>
      <c r="AU51" s="71">
        <v>200058.56</v>
      </c>
      <c r="AV51" s="71">
        <f t="shared" ref="AV51:AV56" si="78">FLOOR(AT51,100)</f>
        <v>200500</v>
      </c>
      <c r="AW51" s="71">
        <f t="shared" ref="AW51:AW56" si="79">AV51-Z51</f>
        <v>-21903</v>
      </c>
      <c r="AX51" s="76">
        <f t="shared" ref="AX51:AX56" si="80">AT51-Z51</f>
        <v>-21903</v>
      </c>
      <c r="AY51" s="76">
        <f t="shared" ref="AY51:AY56" si="81">AT51-AL51</f>
        <v>-67</v>
      </c>
      <c r="BE51" s="71">
        <v>200500</v>
      </c>
      <c r="BF51" s="71">
        <v>200500</v>
      </c>
      <c r="BG51" s="78">
        <f t="shared" ref="BG51:BG56" si="82">BE51-AV51</f>
        <v>0</v>
      </c>
      <c r="BH51" s="71">
        <f>BF51</f>
        <v>200500</v>
      </c>
      <c r="BI51" s="33">
        <f t="shared" ref="BI51:BI56" si="83">BF51-AV51</f>
        <v>0</v>
      </c>
      <c r="BJ51" s="33">
        <f t="shared" ref="BJ51:BJ56" si="84">BF51-AU51</f>
        <v>441.44000000000233</v>
      </c>
      <c r="BK51" s="71">
        <v>200567.17</v>
      </c>
      <c r="BL51" s="79">
        <f t="shared" ref="BL51:BL56" si="85">BK51-BH51</f>
        <v>67.170000000012806</v>
      </c>
      <c r="BM51" s="79">
        <f t="shared" ref="BM51:BM56" si="86">BK51-AV51</f>
        <v>67.170000000012806</v>
      </c>
      <c r="BN51" s="87"/>
      <c r="BO51" s="32"/>
      <c r="BP51" s="71">
        <v>198941.93</v>
      </c>
      <c r="BQ51" s="32">
        <f t="shared" si="10"/>
        <v>-1625.2400000000198</v>
      </c>
      <c r="BR51" s="32">
        <f t="shared" si="11"/>
        <v>-1558.070000000007</v>
      </c>
      <c r="BS51" s="32"/>
      <c r="BT51" s="32"/>
      <c r="BU51" s="33"/>
      <c r="BV51" s="34">
        <f t="shared" si="12"/>
        <v>0</v>
      </c>
      <c r="BY51" s="82"/>
      <c r="BZ51" s="82"/>
      <c r="CC51" s="37"/>
      <c r="CD51" s="71">
        <v>200058.56</v>
      </c>
    </row>
    <row r="52" spans="1:82" s="77" customFormat="1" ht="18" customHeight="1" x14ac:dyDescent="0.25">
      <c r="A52" s="99" t="s">
        <v>58</v>
      </c>
      <c r="B52" s="100"/>
      <c r="C52" s="101"/>
      <c r="D52" s="43"/>
      <c r="E52" s="53"/>
      <c r="F52" s="68" t="s">
        <v>199</v>
      </c>
      <c r="G52" s="106">
        <v>75700</v>
      </c>
      <c r="H52" s="106">
        <v>75700</v>
      </c>
      <c r="I52" s="106">
        <v>65300</v>
      </c>
      <c r="J52" s="70" t="s">
        <v>200</v>
      </c>
      <c r="K52" s="106">
        <v>50308.11</v>
      </c>
      <c r="L52" s="106">
        <v>242222.73</v>
      </c>
      <c r="M52" s="106">
        <f>I52/2</f>
        <v>32650</v>
      </c>
      <c r="N52" s="106">
        <f>M52*2</f>
        <v>65300</v>
      </c>
      <c r="O52" s="106">
        <f>I52</f>
        <v>65300</v>
      </c>
      <c r="P52" s="106">
        <f>N52-I52</f>
        <v>0</v>
      </c>
      <c r="Q52" s="106">
        <v>47022.13</v>
      </c>
      <c r="R52" s="106"/>
      <c r="S52" s="106">
        <v>47022.13</v>
      </c>
      <c r="T52" s="106">
        <f t="shared" si="25"/>
        <v>-18277.870000000003</v>
      </c>
      <c r="U52" s="107">
        <f t="shared" si="26"/>
        <v>-3285.9800000000032</v>
      </c>
      <c r="V52" s="106">
        <f t="shared" si="27"/>
        <v>-18277.870000000003</v>
      </c>
      <c r="W52" s="108"/>
      <c r="X52" s="109">
        <f>S52</f>
        <v>47022.13</v>
      </c>
      <c r="Y52" s="24">
        <f t="shared" si="4"/>
        <v>0</v>
      </c>
      <c r="Z52" s="85">
        <v>47022</v>
      </c>
      <c r="AA52" s="29">
        <f>Z52-I52</f>
        <v>-18278</v>
      </c>
      <c r="AB52" s="29">
        <f>Z52-S52</f>
        <v>-0.12999999999738066</v>
      </c>
      <c r="AC52" s="72"/>
      <c r="AD52" s="72"/>
      <c r="AE52" s="72"/>
      <c r="AF52" s="72"/>
      <c r="AG52" s="72"/>
      <c r="AH52" s="33">
        <f>Z52</f>
        <v>47022</v>
      </c>
      <c r="AI52" s="85">
        <f>FLOOR((241158.19-200567.17),100)</f>
        <v>40500</v>
      </c>
      <c r="AJ52" s="33">
        <f t="shared" si="77"/>
        <v>0</v>
      </c>
      <c r="AK52" s="60">
        <v>40500</v>
      </c>
      <c r="AL52" s="123">
        <f>243702-AL51</f>
        <v>43135</v>
      </c>
      <c r="AM52" s="27">
        <f t="shared" si="6"/>
        <v>2635</v>
      </c>
      <c r="AN52" s="61">
        <f t="shared" si="7"/>
        <v>-3887</v>
      </c>
      <c r="AO52" s="62">
        <f t="shared" si="8"/>
        <v>-6522</v>
      </c>
      <c r="AQ52" s="85" t="s">
        <v>197</v>
      </c>
      <c r="AR52" s="85" t="s">
        <v>198</v>
      </c>
      <c r="AS52" s="85" t="s">
        <v>197</v>
      </c>
      <c r="AT52" s="86">
        <v>43500</v>
      </c>
      <c r="AU52" s="71">
        <v>46285.77</v>
      </c>
      <c r="AV52" s="71">
        <f t="shared" si="78"/>
        <v>43500</v>
      </c>
      <c r="AW52" s="71">
        <f t="shared" si="79"/>
        <v>-3522</v>
      </c>
      <c r="AX52" s="76">
        <f t="shared" si="80"/>
        <v>-3522</v>
      </c>
      <c r="AY52" s="76">
        <f t="shared" si="81"/>
        <v>365</v>
      </c>
      <c r="BE52" s="71">
        <v>43500</v>
      </c>
      <c r="BF52" s="71">
        <f>244000-BF51</f>
        <v>43500</v>
      </c>
      <c r="BG52" s="78">
        <f t="shared" si="82"/>
        <v>0</v>
      </c>
      <c r="BH52" s="71">
        <f>BF52</f>
        <v>43500</v>
      </c>
      <c r="BI52" s="33">
        <f t="shared" si="83"/>
        <v>0</v>
      </c>
      <c r="BJ52" s="33">
        <f t="shared" si="84"/>
        <v>-2785.7699999999968</v>
      </c>
      <c r="BK52" s="71">
        <f>244091.83-BK51</f>
        <v>43524.659999999974</v>
      </c>
      <c r="BL52" s="79">
        <f t="shared" si="85"/>
        <v>24.659999999974389</v>
      </c>
      <c r="BM52" s="79">
        <f t="shared" si="86"/>
        <v>24.659999999974389</v>
      </c>
      <c r="BN52" s="87"/>
      <c r="BO52" s="32"/>
      <c r="BP52" s="71">
        <v>45149.9</v>
      </c>
      <c r="BQ52" s="32">
        <f t="shared" si="10"/>
        <v>1625.2400000000271</v>
      </c>
      <c r="BR52" s="32">
        <f t="shared" si="11"/>
        <v>1649.9000000000015</v>
      </c>
      <c r="BS52" s="32"/>
      <c r="BT52" s="32"/>
      <c r="BU52" s="33"/>
      <c r="BV52" s="34">
        <f t="shared" si="12"/>
        <v>0</v>
      </c>
      <c r="BY52" s="82"/>
      <c r="BZ52" s="82"/>
      <c r="CC52" s="37"/>
      <c r="CD52" s="71">
        <v>46285.77</v>
      </c>
    </row>
    <row r="53" spans="1:82" s="77" customFormat="1" ht="18" hidden="1" customHeight="1" x14ac:dyDescent="0.25">
      <c r="A53" s="99" t="s">
        <v>58</v>
      </c>
      <c r="B53" s="100"/>
      <c r="C53" s="101"/>
      <c r="D53" s="43"/>
      <c r="E53" s="53"/>
      <c r="F53" s="68" t="s">
        <v>201</v>
      </c>
      <c r="G53" s="106">
        <v>600</v>
      </c>
      <c r="H53" s="106">
        <v>600</v>
      </c>
      <c r="I53" s="106">
        <v>0</v>
      </c>
      <c r="J53" s="70"/>
      <c r="K53" s="106">
        <v>0</v>
      </c>
      <c r="L53" s="106"/>
      <c r="M53" s="106"/>
      <c r="N53" s="106"/>
      <c r="O53" s="106">
        <v>0</v>
      </c>
      <c r="P53" s="106">
        <f>N53-I53</f>
        <v>0</v>
      </c>
      <c r="Q53" s="106"/>
      <c r="R53" s="106"/>
      <c r="S53" s="106"/>
      <c r="T53" s="106">
        <f t="shared" si="25"/>
        <v>0</v>
      </c>
      <c r="U53" s="107">
        <f t="shared" si="26"/>
        <v>0</v>
      </c>
      <c r="V53" s="106">
        <f t="shared" si="27"/>
        <v>0</v>
      </c>
      <c r="W53" s="108"/>
      <c r="X53" s="109"/>
      <c r="Y53" s="24">
        <f t="shared" si="4"/>
        <v>0</v>
      </c>
      <c r="Z53" s="85"/>
      <c r="AA53" s="29">
        <f>Z53-I53</f>
        <v>0</v>
      </c>
      <c r="AB53" s="29">
        <f>Z53-S53</f>
        <v>0</v>
      </c>
      <c r="AC53" s="72"/>
      <c r="AD53" s="72"/>
      <c r="AE53" s="72"/>
      <c r="AF53" s="72"/>
      <c r="AG53" s="72"/>
      <c r="AH53" s="85"/>
      <c r="AI53" s="85"/>
      <c r="AJ53" s="85">
        <f t="shared" si="77"/>
        <v>0</v>
      </c>
      <c r="AK53" s="86"/>
      <c r="AL53" s="85"/>
      <c r="AM53" s="27">
        <f t="shared" si="6"/>
        <v>0</v>
      </c>
      <c r="AN53" s="61">
        <f t="shared" si="7"/>
        <v>0</v>
      </c>
      <c r="AO53" s="62">
        <f t="shared" si="8"/>
        <v>0</v>
      </c>
      <c r="AQ53" s="85"/>
      <c r="AR53" s="85"/>
      <c r="AS53" s="85"/>
      <c r="AT53" s="86"/>
      <c r="AU53" s="71">
        <f>FLOOR(BD53,100)</f>
        <v>0</v>
      </c>
      <c r="AV53" s="71">
        <f t="shared" si="78"/>
        <v>0</v>
      </c>
      <c r="AW53" s="71">
        <f t="shared" si="79"/>
        <v>0</v>
      </c>
      <c r="AX53" s="76">
        <f t="shared" si="80"/>
        <v>0</v>
      </c>
      <c r="AY53" s="76">
        <f t="shared" si="81"/>
        <v>0</v>
      </c>
      <c r="BE53" s="71">
        <v>0</v>
      </c>
      <c r="BF53" s="71"/>
      <c r="BG53" s="78">
        <f t="shared" si="82"/>
        <v>0</v>
      </c>
      <c r="BH53" s="71"/>
      <c r="BI53" s="33">
        <f t="shared" si="83"/>
        <v>0</v>
      </c>
      <c r="BJ53" s="33">
        <f t="shared" si="84"/>
        <v>0</v>
      </c>
      <c r="BK53" s="71"/>
      <c r="BL53" s="79">
        <f t="shared" si="85"/>
        <v>0</v>
      </c>
      <c r="BM53" s="79">
        <f t="shared" si="86"/>
        <v>0</v>
      </c>
      <c r="BN53" s="32"/>
      <c r="BO53" s="32"/>
      <c r="BP53" s="71"/>
      <c r="BQ53" s="32">
        <f t="shared" si="10"/>
        <v>0</v>
      </c>
      <c r="BR53" s="32">
        <f t="shared" si="11"/>
        <v>0</v>
      </c>
      <c r="BS53" s="32"/>
      <c r="BT53" s="32"/>
      <c r="BU53" s="33"/>
      <c r="BV53" s="34">
        <f t="shared" si="12"/>
        <v>0</v>
      </c>
      <c r="BY53" s="82"/>
      <c r="BZ53" s="82"/>
      <c r="CC53" s="37"/>
      <c r="CD53" s="71"/>
    </row>
    <row r="54" spans="1:82" s="77" customFormat="1" ht="18" hidden="1" customHeight="1" x14ac:dyDescent="0.25">
      <c r="A54" s="99" t="s">
        <v>58</v>
      </c>
      <c r="B54" s="100"/>
      <c r="C54" s="101"/>
      <c r="D54" s="43"/>
      <c r="E54" s="53" t="s">
        <v>202</v>
      </c>
      <c r="F54" s="68"/>
      <c r="G54" s="55">
        <v>1421350</v>
      </c>
      <c r="H54" s="55">
        <v>440400</v>
      </c>
      <c r="I54" s="55">
        <f t="shared" ref="I54:T54" si="87">SUM(I55:I56)</f>
        <v>0</v>
      </c>
      <c r="J54" s="55">
        <f t="shared" si="87"/>
        <v>0</v>
      </c>
      <c r="K54" s="55">
        <f t="shared" si="87"/>
        <v>1082561.1299999999</v>
      </c>
      <c r="L54" s="55">
        <f t="shared" si="87"/>
        <v>0</v>
      </c>
      <c r="M54" s="55">
        <f t="shared" si="87"/>
        <v>0</v>
      </c>
      <c r="N54" s="55">
        <f t="shared" si="87"/>
        <v>0</v>
      </c>
      <c r="O54" s="55">
        <f t="shared" si="87"/>
        <v>0</v>
      </c>
      <c r="P54" s="55">
        <f t="shared" si="87"/>
        <v>0</v>
      </c>
      <c r="Q54" s="55">
        <f t="shared" si="87"/>
        <v>0</v>
      </c>
      <c r="R54" s="55">
        <f t="shared" si="87"/>
        <v>0</v>
      </c>
      <c r="S54" s="55">
        <f t="shared" si="87"/>
        <v>0</v>
      </c>
      <c r="T54" s="55">
        <f t="shared" si="87"/>
        <v>0</v>
      </c>
      <c r="U54" s="56">
        <f t="shared" si="26"/>
        <v>-1082561.1299999999</v>
      </c>
      <c r="V54" s="55">
        <f t="shared" si="27"/>
        <v>0</v>
      </c>
      <c r="W54" s="57"/>
      <c r="X54" s="58">
        <f t="shared" ref="X54:AI54" si="88">SUM(X55:X56)</f>
        <v>133000</v>
      </c>
      <c r="Y54" s="24">
        <f t="shared" si="88"/>
        <v>0</v>
      </c>
      <c r="Z54" s="33">
        <f t="shared" si="88"/>
        <v>0</v>
      </c>
      <c r="AA54" s="33">
        <f t="shared" si="88"/>
        <v>0</v>
      </c>
      <c r="AB54" s="33">
        <f t="shared" si="88"/>
        <v>0</v>
      </c>
      <c r="AC54" s="33">
        <f t="shared" si="88"/>
        <v>0</v>
      </c>
      <c r="AD54" s="33">
        <f t="shared" si="88"/>
        <v>0</v>
      </c>
      <c r="AE54" s="33">
        <f t="shared" si="88"/>
        <v>0</v>
      </c>
      <c r="AF54" s="33">
        <f t="shared" si="88"/>
        <v>0</v>
      </c>
      <c r="AG54" s="33">
        <f t="shared" si="88"/>
        <v>0</v>
      </c>
      <c r="AH54" s="33">
        <f t="shared" si="88"/>
        <v>0</v>
      </c>
      <c r="AI54" s="33">
        <f t="shared" si="88"/>
        <v>0</v>
      </c>
      <c r="AJ54" s="33">
        <f t="shared" si="77"/>
        <v>0</v>
      </c>
      <c r="AK54" s="60"/>
      <c r="AL54" s="33"/>
      <c r="AM54" s="27">
        <f t="shared" si="6"/>
        <v>0</v>
      </c>
      <c r="AN54" s="61">
        <f t="shared" si="7"/>
        <v>0</v>
      </c>
      <c r="AO54" s="62">
        <f t="shared" si="8"/>
        <v>0</v>
      </c>
      <c r="AQ54" s="33"/>
      <c r="AR54" s="33"/>
      <c r="AS54" s="33"/>
      <c r="AT54" s="60"/>
      <c r="AU54" s="71">
        <f>FLOOR(BD54,100)</f>
        <v>0</v>
      </c>
      <c r="AV54" s="71">
        <f t="shared" si="78"/>
        <v>0</v>
      </c>
      <c r="AW54" s="71">
        <f t="shared" si="79"/>
        <v>0</v>
      </c>
      <c r="AX54" s="76">
        <f t="shared" si="80"/>
        <v>0</v>
      </c>
      <c r="AY54" s="76">
        <f t="shared" si="81"/>
        <v>0</v>
      </c>
      <c r="BE54" s="71">
        <v>0</v>
      </c>
      <c r="BF54" s="71"/>
      <c r="BG54" s="78">
        <f t="shared" si="82"/>
        <v>0</v>
      </c>
      <c r="BH54" s="71"/>
      <c r="BI54" s="33">
        <f t="shared" si="83"/>
        <v>0</v>
      </c>
      <c r="BJ54" s="33">
        <f t="shared" si="84"/>
        <v>0</v>
      </c>
      <c r="BK54" s="71"/>
      <c r="BL54" s="79">
        <f t="shared" si="85"/>
        <v>0</v>
      </c>
      <c r="BM54" s="79">
        <f t="shared" si="86"/>
        <v>0</v>
      </c>
      <c r="BN54" s="32"/>
      <c r="BO54" s="32"/>
      <c r="BP54" s="71"/>
      <c r="BQ54" s="32">
        <f t="shared" si="10"/>
        <v>0</v>
      </c>
      <c r="BR54" s="32">
        <f t="shared" si="11"/>
        <v>0</v>
      </c>
      <c r="BS54" s="32"/>
      <c r="BT54" s="32"/>
      <c r="BU54" s="33"/>
      <c r="BV54" s="34">
        <f t="shared" si="12"/>
        <v>0</v>
      </c>
      <c r="BY54" s="82"/>
      <c r="BZ54" s="82"/>
      <c r="CC54" s="37"/>
      <c r="CD54" s="71"/>
    </row>
    <row r="55" spans="1:82" s="77" customFormat="1" ht="18" hidden="1" customHeight="1" x14ac:dyDescent="0.25">
      <c r="A55" s="99" t="s">
        <v>58</v>
      </c>
      <c r="B55" s="100"/>
      <c r="C55" s="101"/>
      <c r="D55" s="43"/>
      <c r="E55" s="53"/>
      <c r="F55" s="68" t="s">
        <v>203</v>
      </c>
      <c r="G55" s="106">
        <v>1421350</v>
      </c>
      <c r="H55" s="106">
        <v>440400</v>
      </c>
      <c r="I55" s="106">
        <v>0</v>
      </c>
      <c r="J55" s="70"/>
      <c r="K55" s="106">
        <v>1082561.1299999999</v>
      </c>
      <c r="L55" s="106"/>
      <c r="M55" s="106"/>
      <c r="N55" s="106"/>
      <c r="O55" s="106">
        <v>0</v>
      </c>
      <c r="P55" s="106">
        <f>N55-I55</f>
        <v>0</v>
      </c>
      <c r="Q55" s="106">
        <v>0</v>
      </c>
      <c r="R55" s="106"/>
      <c r="S55" s="106"/>
      <c r="T55" s="106">
        <f>S55-I55</f>
        <v>0</v>
      </c>
      <c r="U55" s="107">
        <f t="shared" si="26"/>
        <v>-1082561.1299999999</v>
      </c>
      <c r="V55" s="106">
        <f t="shared" si="27"/>
        <v>0</v>
      </c>
      <c r="W55" s="108"/>
      <c r="X55" s="109"/>
      <c r="Y55" s="24">
        <f>X55-S55</f>
        <v>0</v>
      </c>
      <c r="Z55" s="85">
        <v>0</v>
      </c>
      <c r="AA55" s="29">
        <f>Z55-I55</f>
        <v>0</v>
      </c>
      <c r="AB55" s="29">
        <f>Z55-S55</f>
        <v>0</v>
      </c>
      <c r="AC55" s="72"/>
      <c r="AD55" s="72"/>
      <c r="AE55" s="72"/>
      <c r="AF55" s="72"/>
      <c r="AG55" s="72"/>
      <c r="AH55" s="85">
        <v>0</v>
      </c>
      <c r="AI55" s="85">
        <v>0</v>
      </c>
      <c r="AJ55" s="85">
        <f t="shared" si="77"/>
        <v>0</v>
      </c>
      <c r="AK55" s="86"/>
      <c r="AL55" s="85"/>
      <c r="AM55" s="27">
        <f t="shared" si="6"/>
        <v>0</v>
      </c>
      <c r="AN55" s="61">
        <f t="shared" si="7"/>
        <v>0</v>
      </c>
      <c r="AO55" s="62">
        <f t="shared" si="8"/>
        <v>0</v>
      </c>
      <c r="AQ55" s="85"/>
      <c r="AR55" s="85"/>
      <c r="AS55" s="85"/>
      <c r="AT55" s="86"/>
      <c r="AU55" s="71">
        <f>FLOOR(BD55,100)</f>
        <v>0</v>
      </c>
      <c r="AV55" s="71">
        <f t="shared" si="78"/>
        <v>0</v>
      </c>
      <c r="AW55" s="71">
        <f t="shared" si="79"/>
        <v>0</v>
      </c>
      <c r="AX55" s="76">
        <f t="shared" si="80"/>
        <v>0</v>
      </c>
      <c r="AY55" s="76">
        <f t="shared" si="81"/>
        <v>0</v>
      </c>
      <c r="BE55" s="71">
        <v>0</v>
      </c>
      <c r="BF55" s="71"/>
      <c r="BG55" s="78">
        <f t="shared" si="82"/>
        <v>0</v>
      </c>
      <c r="BH55" s="71"/>
      <c r="BI55" s="33">
        <f t="shared" si="83"/>
        <v>0</v>
      </c>
      <c r="BJ55" s="33">
        <f t="shared" si="84"/>
        <v>0</v>
      </c>
      <c r="BK55" s="71"/>
      <c r="BL55" s="79">
        <f t="shared" si="85"/>
        <v>0</v>
      </c>
      <c r="BM55" s="79">
        <f t="shared" si="86"/>
        <v>0</v>
      </c>
      <c r="BN55" s="32"/>
      <c r="BO55" s="32"/>
      <c r="BP55" s="71"/>
      <c r="BQ55" s="32">
        <f t="shared" si="10"/>
        <v>0</v>
      </c>
      <c r="BR55" s="32">
        <f t="shared" si="11"/>
        <v>0</v>
      </c>
      <c r="BS55" s="32"/>
      <c r="BT55" s="32"/>
      <c r="BU55" s="33"/>
      <c r="BV55" s="34">
        <f t="shared" si="12"/>
        <v>0</v>
      </c>
      <c r="BY55" s="82"/>
      <c r="BZ55" s="82"/>
      <c r="CC55" s="37"/>
      <c r="CD55" s="71"/>
    </row>
    <row r="56" spans="1:82" s="77" customFormat="1" ht="18" hidden="1" customHeight="1" x14ac:dyDescent="0.25">
      <c r="A56" s="99"/>
      <c r="B56" s="100"/>
      <c r="C56" s="101"/>
      <c r="D56" s="43"/>
      <c r="E56" s="53"/>
      <c r="F56" s="68" t="s">
        <v>204</v>
      </c>
      <c r="G56" s="124"/>
      <c r="H56" s="124"/>
      <c r="I56" s="124"/>
      <c r="J56" s="125"/>
      <c r="K56" s="124"/>
      <c r="L56" s="124"/>
      <c r="M56" s="124"/>
      <c r="N56" s="124"/>
      <c r="O56" s="124"/>
      <c r="P56" s="124"/>
      <c r="Q56" s="124"/>
      <c r="R56" s="124"/>
      <c r="S56" s="124"/>
      <c r="T56" s="124"/>
      <c r="U56" s="124"/>
      <c r="V56" s="124"/>
      <c r="W56" s="126"/>
      <c r="X56" s="124">
        <v>133000</v>
      </c>
      <c r="Y56" s="127"/>
      <c r="Z56" s="85">
        <v>0</v>
      </c>
      <c r="AA56" s="29"/>
      <c r="AB56" s="29"/>
      <c r="AC56" s="72"/>
      <c r="AD56" s="72"/>
      <c r="AE56" s="72"/>
      <c r="AF56" s="72"/>
      <c r="AG56" s="72"/>
      <c r="AH56" s="85">
        <v>0</v>
      </c>
      <c r="AI56" s="85">
        <v>0</v>
      </c>
      <c r="AJ56" s="85">
        <f t="shared" si="77"/>
        <v>0</v>
      </c>
      <c r="AK56" s="86"/>
      <c r="AL56" s="85"/>
      <c r="AM56" s="27">
        <f t="shared" si="6"/>
        <v>0</v>
      </c>
      <c r="AN56" s="61">
        <f t="shared" si="7"/>
        <v>0</v>
      </c>
      <c r="AO56" s="62">
        <f t="shared" si="8"/>
        <v>0</v>
      </c>
      <c r="AQ56" s="85"/>
      <c r="AR56" s="85"/>
      <c r="AS56" s="85"/>
      <c r="AT56" s="86"/>
      <c r="AU56" s="71">
        <f>FLOOR(BD56,100)</f>
        <v>0</v>
      </c>
      <c r="AV56" s="71">
        <f t="shared" si="78"/>
        <v>0</v>
      </c>
      <c r="AW56" s="71">
        <f t="shared" si="79"/>
        <v>0</v>
      </c>
      <c r="AX56" s="76">
        <f t="shared" si="80"/>
        <v>0</v>
      </c>
      <c r="AY56" s="76">
        <f t="shared" si="81"/>
        <v>0</v>
      </c>
      <c r="BE56" s="71">
        <v>0</v>
      </c>
      <c r="BF56" s="71"/>
      <c r="BG56" s="78">
        <f t="shared" si="82"/>
        <v>0</v>
      </c>
      <c r="BH56" s="71"/>
      <c r="BI56" s="33">
        <f t="shared" si="83"/>
        <v>0</v>
      </c>
      <c r="BJ56" s="33">
        <f t="shared" si="84"/>
        <v>0</v>
      </c>
      <c r="BK56" s="71"/>
      <c r="BL56" s="79">
        <f t="shared" si="85"/>
        <v>0</v>
      </c>
      <c r="BM56" s="79">
        <f t="shared" si="86"/>
        <v>0</v>
      </c>
      <c r="BN56" s="32"/>
      <c r="BO56" s="32"/>
      <c r="BP56" s="71"/>
      <c r="BQ56" s="32">
        <f t="shared" si="10"/>
        <v>0</v>
      </c>
      <c r="BR56" s="32">
        <f t="shared" si="11"/>
        <v>0</v>
      </c>
      <c r="BS56" s="32"/>
      <c r="BT56" s="32"/>
      <c r="BU56" s="33"/>
      <c r="BV56" s="34">
        <f t="shared" si="12"/>
        <v>0</v>
      </c>
      <c r="BY56" s="82"/>
      <c r="BZ56" s="82"/>
      <c r="CC56" s="37"/>
      <c r="CD56" s="71"/>
    </row>
    <row r="57" spans="1:82" s="63" customFormat="1" ht="18" customHeight="1" x14ac:dyDescent="0.25">
      <c r="A57" s="96" t="s">
        <v>58</v>
      </c>
      <c r="B57" s="97"/>
      <c r="C57" s="98"/>
      <c r="D57" s="44"/>
      <c r="E57" s="53" t="s">
        <v>205</v>
      </c>
      <c r="F57" s="54"/>
      <c r="G57" s="55">
        <v>127600</v>
      </c>
      <c r="H57" s="55">
        <v>176200</v>
      </c>
      <c r="I57" s="55">
        <f t="shared" ref="I57:Q57" si="89">I58</f>
        <v>246300</v>
      </c>
      <c r="J57" s="55" t="str">
        <f t="shared" si="89"/>
        <v xml:space="preserve">                         Finanziamento progetti</v>
      </c>
      <c r="K57" s="55">
        <f t="shared" si="89"/>
        <v>127295.84</v>
      </c>
      <c r="L57" s="55">
        <f t="shared" si="89"/>
        <v>19695.150000000001</v>
      </c>
      <c r="M57" s="55">
        <f t="shared" si="89"/>
        <v>47426.294416243654</v>
      </c>
      <c r="N57" s="55">
        <f t="shared" si="89"/>
        <v>209666</v>
      </c>
      <c r="O57" s="55">
        <f t="shared" si="89"/>
        <v>209666</v>
      </c>
      <c r="P57" s="55">
        <f t="shared" si="89"/>
        <v>-36634</v>
      </c>
      <c r="Q57" s="55">
        <f t="shared" si="89"/>
        <v>50831.71</v>
      </c>
      <c r="R57" s="55"/>
      <c r="S57" s="55">
        <f>S58</f>
        <v>211546.47</v>
      </c>
      <c r="T57" s="55">
        <f t="shared" ref="T57:T120" si="90">S57-I57</f>
        <v>-34753.53</v>
      </c>
      <c r="U57" s="56">
        <f t="shared" ref="U57:U120" si="91">S57-K57</f>
        <v>84250.63</v>
      </c>
      <c r="V57" s="55">
        <f t="shared" ref="V57:V120" si="92">S57-O57</f>
        <v>1880.4700000000012</v>
      </c>
      <c r="W57" s="57"/>
      <c r="X57" s="58">
        <f>X58</f>
        <v>208196.42</v>
      </c>
      <c r="Y57" s="59">
        <f t="shared" ref="Y57:Y120" si="93">X57-S57</f>
        <v>-3350.0499999999884</v>
      </c>
      <c r="Z57" s="33">
        <f t="shared" ref="Z57:AL57" si="94">Z58</f>
        <v>234142</v>
      </c>
      <c r="AA57" s="33">
        <f t="shared" si="94"/>
        <v>-12158</v>
      </c>
      <c r="AB57" s="33">
        <f t="shared" si="94"/>
        <v>22595.53</v>
      </c>
      <c r="AC57" s="33">
        <f t="shared" si="94"/>
        <v>0</v>
      </c>
      <c r="AD57" s="33">
        <f t="shared" si="94"/>
        <v>0</v>
      </c>
      <c r="AE57" s="33">
        <f t="shared" si="94"/>
        <v>0</v>
      </c>
      <c r="AF57" s="33">
        <f t="shared" si="94"/>
        <v>0</v>
      </c>
      <c r="AG57" s="33">
        <f t="shared" si="94"/>
        <v>0</v>
      </c>
      <c r="AH57" s="33">
        <f t="shared" si="94"/>
        <v>234142</v>
      </c>
      <c r="AI57" s="33">
        <f t="shared" si="94"/>
        <v>187840</v>
      </c>
      <c r="AJ57" s="33">
        <f t="shared" si="94"/>
        <v>0</v>
      </c>
      <c r="AK57" s="60">
        <f t="shared" si="94"/>
        <v>187840</v>
      </c>
      <c r="AL57" s="33">
        <f t="shared" si="94"/>
        <v>187840</v>
      </c>
      <c r="AM57" s="27">
        <f t="shared" si="6"/>
        <v>0</v>
      </c>
      <c r="AN57" s="61">
        <f t="shared" si="7"/>
        <v>-46302</v>
      </c>
      <c r="AO57" s="62">
        <f t="shared" si="8"/>
        <v>-46302</v>
      </c>
      <c r="AQ57" s="33"/>
      <c r="AR57" s="33"/>
      <c r="AS57" s="33"/>
      <c r="AT57" s="60">
        <f t="shared" ref="AT57:BP57" si="95">AT58</f>
        <v>171994</v>
      </c>
      <c r="AU57" s="33">
        <f t="shared" si="95"/>
        <v>168015.61</v>
      </c>
      <c r="AV57" s="33">
        <f t="shared" si="95"/>
        <v>171900</v>
      </c>
      <c r="AW57" s="33">
        <f t="shared" si="95"/>
        <v>-62242</v>
      </c>
      <c r="AX57" s="33">
        <f t="shared" si="95"/>
        <v>-62148</v>
      </c>
      <c r="AY57" s="33">
        <f t="shared" si="95"/>
        <v>-15846</v>
      </c>
      <c r="AZ57" s="33">
        <f t="shared" si="95"/>
        <v>0</v>
      </c>
      <c r="BA57" s="33">
        <f t="shared" si="95"/>
        <v>0</v>
      </c>
      <c r="BB57" s="33">
        <f t="shared" si="95"/>
        <v>0</v>
      </c>
      <c r="BC57" s="33">
        <f t="shared" si="95"/>
        <v>0</v>
      </c>
      <c r="BD57" s="33">
        <f t="shared" si="95"/>
        <v>0</v>
      </c>
      <c r="BE57" s="33">
        <f t="shared" si="95"/>
        <v>171900</v>
      </c>
      <c r="BF57" s="33">
        <f t="shared" si="95"/>
        <v>176900</v>
      </c>
      <c r="BG57" s="33">
        <f t="shared" si="95"/>
        <v>0</v>
      </c>
      <c r="BH57" s="33">
        <f t="shared" si="95"/>
        <v>176900</v>
      </c>
      <c r="BI57" s="33">
        <f t="shared" si="95"/>
        <v>5000</v>
      </c>
      <c r="BJ57" s="33">
        <f t="shared" si="95"/>
        <v>8884.390000000014</v>
      </c>
      <c r="BK57" s="33">
        <f t="shared" si="95"/>
        <v>149900</v>
      </c>
      <c r="BL57" s="33">
        <f t="shared" si="95"/>
        <v>-27000</v>
      </c>
      <c r="BM57" s="33">
        <f t="shared" si="95"/>
        <v>-22000</v>
      </c>
      <c r="BN57" s="33">
        <f t="shared" si="95"/>
        <v>0</v>
      </c>
      <c r="BO57" s="33">
        <f t="shared" si="95"/>
        <v>0</v>
      </c>
      <c r="BP57" s="33">
        <f t="shared" si="95"/>
        <v>149821.25</v>
      </c>
      <c r="BQ57" s="32">
        <f t="shared" si="10"/>
        <v>-78.75</v>
      </c>
      <c r="BR57" s="32">
        <f t="shared" si="11"/>
        <v>-22078.75</v>
      </c>
      <c r="BS57" s="32"/>
      <c r="BT57" s="32"/>
      <c r="BU57" s="33"/>
      <c r="BV57" s="34">
        <f t="shared" si="12"/>
        <v>5000</v>
      </c>
      <c r="BY57" s="64"/>
      <c r="BZ57" s="64"/>
      <c r="CC57" s="37"/>
      <c r="CD57" s="33">
        <f>CD58</f>
        <v>168015.61</v>
      </c>
    </row>
    <row r="58" spans="1:82" s="77" customFormat="1" ht="18" customHeight="1" x14ac:dyDescent="0.25">
      <c r="A58" s="99" t="s">
        <v>58</v>
      </c>
      <c r="B58" s="100"/>
      <c r="C58" s="101"/>
      <c r="D58" s="43"/>
      <c r="E58" s="53"/>
      <c r="F58" s="68" t="s">
        <v>206</v>
      </c>
      <c r="G58" s="128">
        <v>127600</v>
      </c>
      <c r="H58" s="128">
        <v>176200</v>
      </c>
      <c r="I58" s="128">
        <v>246300</v>
      </c>
      <c r="J58" s="129" t="s">
        <v>207</v>
      </c>
      <c r="K58" s="128">
        <v>127295.84</v>
      </c>
      <c r="L58" s="128">
        <v>19695.150000000001</v>
      </c>
      <c r="M58" s="128">
        <f>246300/295500*56900</f>
        <v>47426.294416243654</v>
      </c>
      <c r="N58" s="128">
        <f>O58</f>
        <v>209666</v>
      </c>
      <c r="O58" s="128">
        <v>209666</v>
      </c>
      <c r="P58" s="128">
        <f>N58-I58</f>
        <v>-36634</v>
      </c>
      <c r="Q58" s="128">
        <v>50831.71</v>
      </c>
      <c r="R58" s="128"/>
      <c r="S58" s="128">
        <f>207946.47+3600</f>
        <v>211546.47</v>
      </c>
      <c r="T58" s="128">
        <f t="shared" si="90"/>
        <v>-34753.53</v>
      </c>
      <c r="U58" s="128">
        <f t="shared" si="91"/>
        <v>84250.63</v>
      </c>
      <c r="V58" s="128">
        <f t="shared" si="92"/>
        <v>1880.4700000000012</v>
      </c>
      <c r="W58" s="130" t="s">
        <v>208</v>
      </c>
      <c r="X58" s="58">
        <f>204596.42+3600</f>
        <v>208196.42</v>
      </c>
      <c r="Y58" s="131">
        <f t="shared" si="93"/>
        <v>-3350.0499999999884</v>
      </c>
      <c r="Z58" s="85">
        <v>234142</v>
      </c>
      <c r="AA58" s="29">
        <f>Z58-I58</f>
        <v>-12158</v>
      </c>
      <c r="AB58" s="29">
        <f>Z58-S58</f>
        <v>22595.53</v>
      </c>
      <c r="AC58" s="72"/>
      <c r="AD58" s="72"/>
      <c r="AE58" s="72"/>
      <c r="AF58" s="72"/>
      <c r="AG58" s="72"/>
      <c r="AH58" s="85">
        <v>234142</v>
      </c>
      <c r="AI58" s="85">
        <f>187540+300</f>
        <v>187840</v>
      </c>
      <c r="AJ58" s="85">
        <f>AH58-Z58</f>
        <v>0</v>
      </c>
      <c r="AK58" s="86">
        <v>187840</v>
      </c>
      <c r="AL58" s="123">
        <v>187840</v>
      </c>
      <c r="AM58" s="27">
        <f t="shared" si="6"/>
        <v>0</v>
      </c>
      <c r="AN58" s="61">
        <f t="shared" si="7"/>
        <v>-46302</v>
      </c>
      <c r="AO58" s="62">
        <f t="shared" si="8"/>
        <v>-46302</v>
      </c>
      <c r="AQ58" s="85" t="s">
        <v>209</v>
      </c>
      <c r="AR58" s="85" t="s">
        <v>209</v>
      </c>
      <c r="AS58" s="85" t="s">
        <v>209</v>
      </c>
      <c r="AT58" s="86">
        <v>171994</v>
      </c>
      <c r="AU58" s="71">
        <v>168015.61</v>
      </c>
      <c r="AV58" s="71">
        <f>FLOOR(AT58,100)</f>
        <v>171900</v>
      </c>
      <c r="AW58" s="71">
        <f>AV58-Z58</f>
        <v>-62242</v>
      </c>
      <c r="AX58" s="76">
        <f>AT58-Z58</f>
        <v>-62148</v>
      </c>
      <c r="AY58" s="76">
        <f>AT58-AL58</f>
        <v>-15846</v>
      </c>
      <c r="BE58" s="71">
        <v>171900</v>
      </c>
      <c r="BF58" s="71">
        <v>176900</v>
      </c>
      <c r="BG58" s="78">
        <f>BE58-AV58</f>
        <v>0</v>
      </c>
      <c r="BH58" s="71">
        <f>BF58</f>
        <v>176900</v>
      </c>
      <c r="BI58" s="33">
        <f>BF58-AV58</f>
        <v>5000</v>
      </c>
      <c r="BJ58" s="33">
        <f>BF58-AU58</f>
        <v>8884.390000000014</v>
      </c>
      <c r="BK58" s="71">
        <v>149900</v>
      </c>
      <c r="BL58" s="79">
        <f>BK58-BH58</f>
        <v>-27000</v>
      </c>
      <c r="BM58" s="79">
        <f>BK58-AV58</f>
        <v>-22000</v>
      </c>
      <c r="BN58" s="87"/>
      <c r="BO58" s="87"/>
      <c r="BP58" s="71">
        <f>118221.55+1910.13+29689.57</f>
        <v>149821.25</v>
      </c>
      <c r="BQ58" s="32">
        <f t="shared" si="10"/>
        <v>-78.75</v>
      </c>
      <c r="BR58" s="32">
        <f t="shared" si="11"/>
        <v>-22078.75</v>
      </c>
      <c r="BS58" s="32"/>
      <c r="BT58" s="32"/>
      <c r="BU58" s="33"/>
      <c r="BV58" s="34">
        <f t="shared" si="12"/>
        <v>5000</v>
      </c>
      <c r="BY58" s="82"/>
      <c r="BZ58" s="82"/>
      <c r="CC58" s="37"/>
      <c r="CD58" s="71">
        <v>168015.61</v>
      </c>
    </row>
    <row r="59" spans="1:82" s="35" customFormat="1" ht="18" customHeight="1" x14ac:dyDescent="0.25">
      <c r="A59" s="38" t="s">
        <v>58</v>
      </c>
      <c r="B59" s="39"/>
      <c r="C59" s="93"/>
      <c r="D59" s="43" t="s">
        <v>210</v>
      </c>
      <c r="E59" s="44"/>
      <c r="F59" s="45"/>
      <c r="G59" s="46">
        <v>1090500</v>
      </c>
      <c r="H59" s="46">
        <v>1068410</v>
      </c>
      <c r="I59" s="46">
        <f t="shared" ref="I59:Q59" si="96">I60+I67+I79</f>
        <v>917200</v>
      </c>
      <c r="J59" s="46">
        <f t="shared" si="96"/>
        <v>0</v>
      </c>
      <c r="K59" s="46">
        <f t="shared" si="96"/>
        <v>1032585.85</v>
      </c>
      <c r="L59" s="46">
        <f t="shared" si="96"/>
        <v>343805.47</v>
      </c>
      <c r="M59" s="46">
        <f t="shared" si="96"/>
        <v>408780.98999999993</v>
      </c>
      <c r="N59" s="46">
        <f t="shared" si="96"/>
        <v>856209.15999999992</v>
      </c>
      <c r="O59" s="46">
        <f t="shared" si="96"/>
        <v>937621.15999999992</v>
      </c>
      <c r="P59" s="46">
        <f t="shared" si="96"/>
        <v>-60990.84000000004</v>
      </c>
      <c r="Q59" s="46">
        <f t="shared" si="96"/>
        <v>644216.94000000006</v>
      </c>
      <c r="R59" s="46"/>
      <c r="S59" s="46">
        <f>S60+S67+S79</f>
        <v>1249876.3166666669</v>
      </c>
      <c r="T59" s="46">
        <f t="shared" si="90"/>
        <v>332676.31666666688</v>
      </c>
      <c r="U59" s="21">
        <f t="shared" si="91"/>
        <v>217290.46666666691</v>
      </c>
      <c r="V59" s="46">
        <f t="shared" si="92"/>
        <v>312255.15666666697</v>
      </c>
      <c r="W59" s="47"/>
      <c r="X59" s="23">
        <f>X60+X67+X79</f>
        <v>1334963.9915151515</v>
      </c>
      <c r="Y59" s="24">
        <f t="shared" si="93"/>
        <v>85087.674848484574</v>
      </c>
      <c r="Z59" s="48">
        <f t="shared" ref="Z59:AL59" si="97">Z60+Z67+Z79</f>
        <v>1218539</v>
      </c>
      <c r="AA59" s="48">
        <f t="shared" si="97"/>
        <v>297039</v>
      </c>
      <c r="AB59" s="48">
        <f t="shared" si="97"/>
        <v>-36889.316666666695</v>
      </c>
      <c r="AC59" s="48">
        <f t="shared" si="97"/>
        <v>920645.42999999993</v>
      </c>
      <c r="AD59" s="48">
        <f t="shared" si="97"/>
        <v>941583.03004974534</v>
      </c>
      <c r="AE59" s="48">
        <f t="shared" si="97"/>
        <v>20937.600049745408</v>
      </c>
      <c r="AF59" s="48">
        <f t="shared" si="97"/>
        <v>0</v>
      </c>
      <c r="AG59" s="48">
        <f t="shared" si="97"/>
        <v>0</v>
      </c>
      <c r="AH59" s="48">
        <f t="shared" si="97"/>
        <v>1218539.24</v>
      </c>
      <c r="AI59" s="48">
        <f t="shared" si="97"/>
        <v>1337458.2071428571</v>
      </c>
      <c r="AJ59" s="48">
        <f t="shared" si="97"/>
        <v>0.24000000000000909</v>
      </c>
      <c r="AK59" s="49">
        <f t="shared" si="97"/>
        <v>1517669.61974</v>
      </c>
      <c r="AL59" s="48">
        <f t="shared" si="97"/>
        <v>1414748.7454545458</v>
      </c>
      <c r="AM59" s="27">
        <f t="shared" si="6"/>
        <v>77290.538311688695</v>
      </c>
      <c r="AN59" s="28">
        <f t="shared" si="7"/>
        <v>196209.74545454583</v>
      </c>
      <c r="AO59" s="50">
        <f t="shared" si="8"/>
        <v>118919.20714285714</v>
      </c>
      <c r="AQ59" s="48"/>
      <c r="AR59" s="48"/>
      <c r="AS59" s="48"/>
      <c r="AT59" s="49">
        <f t="shared" ref="AT59:BP59" si="98">AT60+AT67+AT79</f>
        <v>1292270.2827272727</v>
      </c>
      <c r="AU59" s="48">
        <f t="shared" si="98"/>
        <v>1568897.6</v>
      </c>
      <c r="AV59" s="48">
        <f t="shared" si="98"/>
        <v>1291900</v>
      </c>
      <c r="AW59" s="48">
        <f t="shared" si="98"/>
        <v>73361</v>
      </c>
      <c r="AX59" s="48">
        <f t="shared" si="98"/>
        <v>73731.282727272701</v>
      </c>
      <c r="AY59" s="48">
        <f t="shared" si="98"/>
        <v>-122478.46272727291</v>
      </c>
      <c r="AZ59" s="48">
        <f t="shared" si="98"/>
        <v>0</v>
      </c>
      <c r="BA59" s="48">
        <f t="shared" si="98"/>
        <v>0</v>
      </c>
      <c r="BB59" s="48">
        <f t="shared" si="98"/>
        <v>0</v>
      </c>
      <c r="BC59" s="48">
        <f t="shared" si="98"/>
        <v>0</v>
      </c>
      <c r="BD59" s="48">
        <f t="shared" si="98"/>
        <v>0</v>
      </c>
      <c r="BE59" s="48">
        <f t="shared" si="98"/>
        <v>1291900</v>
      </c>
      <c r="BF59" s="48">
        <f t="shared" si="98"/>
        <v>1985160.904285714</v>
      </c>
      <c r="BG59" s="48">
        <f t="shared" si="98"/>
        <v>0</v>
      </c>
      <c r="BH59" s="48">
        <f t="shared" si="98"/>
        <v>1987080.9966666666</v>
      </c>
      <c r="BI59" s="48">
        <f t="shared" si="98"/>
        <v>693260.90428571415</v>
      </c>
      <c r="BJ59" s="48">
        <f t="shared" si="98"/>
        <v>416263.30428571405</v>
      </c>
      <c r="BK59" s="48">
        <f t="shared" si="98"/>
        <v>3462420.6672727275</v>
      </c>
      <c r="BL59" s="48">
        <f t="shared" si="98"/>
        <v>1475339.6706060609</v>
      </c>
      <c r="BM59" s="48">
        <f t="shared" si="98"/>
        <v>2170520.6672727275</v>
      </c>
      <c r="BN59" s="48">
        <f t="shared" si="98"/>
        <v>0</v>
      </c>
      <c r="BO59" s="48">
        <f t="shared" si="98"/>
        <v>0</v>
      </c>
      <c r="BP59" s="48">
        <f t="shared" si="98"/>
        <v>3464004.4</v>
      </c>
      <c r="BQ59" s="32">
        <f t="shared" si="10"/>
        <v>1583.732727272436</v>
      </c>
      <c r="BR59" s="32">
        <f t="shared" si="11"/>
        <v>2172104.4</v>
      </c>
      <c r="BS59" s="32"/>
      <c r="BT59" s="32"/>
      <c r="BU59" s="33"/>
      <c r="BV59" s="34">
        <f t="shared" si="12"/>
        <v>695180.99666666659</v>
      </c>
      <c r="BY59" s="36"/>
      <c r="BZ59" s="36"/>
      <c r="CC59" s="37"/>
      <c r="CD59" s="48">
        <f>CD60+CD67+CD79</f>
        <v>1568897.6</v>
      </c>
    </row>
    <row r="60" spans="1:82" s="63" customFormat="1" ht="18" customHeight="1" x14ac:dyDescent="0.25">
      <c r="A60" s="96" t="s">
        <v>58</v>
      </c>
      <c r="B60" s="97"/>
      <c r="C60" s="98"/>
      <c r="D60" s="44"/>
      <c r="E60" s="53" t="s">
        <v>211</v>
      </c>
      <c r="F60" s="54"/>
      <c r="G60" s="55">
        <v>741500</v>
      </c>
      <c r="H60" s="55">
        <v>690900</v>
      </c>
      <c r="I60" s="55">
        <f t="shared" ref="I60:Q60" si="99">SUM(I61:I66)</f>
        <v>687100</v>
      </c>
      <c r="J60" s="55">
        <f t="shared" si="99"/>
        <v>0</v>
      </c>
      <c r="K60" s="55">
        <f t="shared" si="99"/>
        <v>691775.39</v>
      </c>
      <c r="L60" s="55">
        <f t="shared" si="99"/>
        <v>264560.05</v>
      </c>
      <c r="M60" s="55">
        <f t="shared" si="99"/>
        <v>320584.78999999998</v>
      </c>
      <c r="N60" s="55">
        <f t="shared" si="99"/>
        <v>707212.45</v>
      </c>
      <c r="O60" s="55">
        <f t="shared" si="99"/>
        <v>707212.45</v>
      </c>
      <c r="P60" s="55">
        <f t="shared" si="99"/>
        <v>20112.449999999953</v>
      </c>
      <c r="Q60" s="55">
        <f t="shared" si="99"/>
        <v>484667.30000000005</v>
      </c>
      <c r="R60" s="55"/>
      <c r="S60" s="55">
        <f>SUM(S61:S66)</f>
        <v>1013999.66</v>
      </c>
      <c r="T60" s="55">
        <f t="shared" si="90"/>
        <v>326899.66000000003</v>
      </c>
      <c r="U60" s="56">
        <f t="shared" si="91"/>
        <v>322224.27</v>
      </c>
      <c r="V60" s="55">
        <f t="shared" si="92"/>
        <v>306787.21000000008</v>
      </c>
      <c r="W60" s="57"/>
      <c r="X60" s="58">
        <f>SUM(X61:X66)</f>
        <v>1015125.8899999999</v>
      </c>
      <c r="Y60" s="59">
        <f t="shared" si="93"/>
        <v>1126.229999999865</v>
      </c>
      <c r="Z60" s="33">
        <f t="shared" ref="Z60:AL60" si="100">SUM(Z61:Z66)</f>
        <v>1007480</v>
      </c>
      <c r="AA60" s="33">
        <f t="shared" si="100"/>
        <v>320380</v>
      </c>
      <c r="AB60" s="33">
        <f t="shared" si="100"/>
        <v>-6519.6600000000326</v>
      </c>
      <c r="AC60" s="33">
        <f t="shared" si="100"/>
        <v>920645.42999999993</v>
      </c>
      <c r="AD60" s="33">
        <f t="shared" si="100"/>
        <v>941583.03004974534</v>
      </c>
      <c r="AE60" s="33">
        <f t="shared" si="100"/>
        <v>20937.600049745408</v>
      </c>
      <c r="AF60" s="33">
        <f t="shared" si="100"/>
        <v>0</v>
      </c>
      <c r="AG60" s="33">
        <f t="shared" si="100"/>
        <v>0</v>
      </c>
      <c r="AH60" s="33">
        <f t="shared" si="100"/>
        <v>1007480</v>
      </c>
      <c r="AI60" s="33">
        <f t="shared" si="100"/>
        <v>1017752.4299999999</v>
      </c>
      <c r="AJ60" s="33">
        <f t="shared" si="100"/>
        <v>0</v>
      </c>
      <c r="AK60" s="60">
        <f t="shared" si="100"/>
        <v>1197168.63974</v>
      </c>
      <c r="AL60" s="33">
        <f t="shared" si="100"/>
        <v>1106898.5100000002</v>
      </c>
      <c r="AM60" s="27">
        <f t="shared" si="6"/>
        <v>89146.080000000307</v>
      </c>
      <c r="AN60" s="61">
        <f t="shared" si="7"/>
        <v>99418.510000000242</v>
      </c>
      <c r="AO60" s="62">
        <f t="shared" si="8"/>
        <v>10272.429999999935</v>
      </c>
      <c r="AQ60" s="33"/>
      <c r="AR60" s="33"/>
      <c r="AS60" s="33"/>
      <c r="AT60" s="60">
        <f t="shared" ref="AT60:BP60" si="101">SUM(AT61:AT66)</f>
        <v>1088759.1499999999</v>
      </c>
      <c r="AU60" s="33">
        <f t="shared" si="101"/>
        <v>1217660.9900000002</v>
      </c>
      <c r="AV60" s="33">
        <f t="shared" si="101"/>
        <v>1088700</v>
      </c>
      <c r="AW60" s="33">
        <f t="shared" si="101"/>
        <v>81220</v>
      </c>
      <c r="AX60" s="33">
        <f t="shared" si="101"/>
        <v>81279.14999999998</v>
      </c>
      <c r="AY60" s="33">
        <f t="shared" si="101"/>
        <v>-18139.36000000019</v>
      </c>
      <c r="AZ60" s="33">
        <f t="shared" si="101"/>
        <v>0</v>
      </c>
      <c r="BA60" s="33">
        <f t="shared" si="101"/>
        <v>0</v>
      </c>
      <c r="BB60" s="33">
        <f t="shared" si="101"/>
        <v>0</v>
      </c>
      <c r="BC60" s="33">
        <f t="shared" si="101"/>
        <v>0</v>
      </c>
      <c r="BD60" s="33">
        <f t="shared" si="101"/>
        <v>0</v>
      </c>
      <c r="BE60" s="33">
        <f t="shared" si="101"/>
        <v>1088700</v>
      </c>
      <c r="BF60" s="33">
        <f t="shared" si="101"/>
        <v>1740287.63</v>
      </c>
      <c r="BG60" s="33">
        <f t="shared" si="101"/>
        <v>0</v>
      </c>
      <c r="BH60" s="33">
        <f t="shared" si="101"/>
        <v>1741655.23</v>
      </c>
      <c r="BI60" s="33">
        <f t="shared" si="101"/>
        <v>651587.62999999989</v>
      </c>
      <c r="BJ60" s="33">
        <f t="shared" si="101"/>
        <v>522626.63999999978</v>
      </c>
      <c r="BK60" s="33">
        <f t="shared" si="101"/>
        <v>3216225.3200000003</v>
      </c>
      <c r="BL60" s="33">
        <f t="shared" si="101"/>
        <v>1474570.0900000003</v>
      </c>
      <c r="BM60" s="33">
        <f t="shared" si="101"/>
        <v>2127525.3200000003</v>
      </c>
      <c r="BN60" s="33">
        <f t="shared" si="101"/>
        <v>0</v>
      </c>
      <c r="BO60" s="33">
        <f t="shared" si="101"/>
        <v>0</v>
      </c>
      <c r="BP60" s="33">
        <f t="shared" si="101"/>
        <v>3214281.21</v>
      </c>
      <c r="BQ60" s="32">
        <f t="shared" si="10"/>
        <v>-1944.1100000003353</v>
      </c>
      <c r="BR60" s="32">
        <f t="shared" si="11"/>
        <v>2125581.21</v>
      </c>
      <c r="BS60" s="32"/>
      <c r="BT60" s="32"/>
      <c r="BU60" s="33"/>
      <c r="BV60" s="34">
        <f t="shared" si="12"/>
        <v>652955.23</v>
      </c>
      <c r="BY60" s="64"/>
      <c r="BZ60" s="64"/>
      <c r="CC60" s="37"/>
      <c r="CD60" s="33">
        <f>SUM(CD61:CD66)</f>
        <v>1217660.9900000002</v>
      </c>
    </row>
    <row r="61" spans="1:82" s="77" customFormat="1" ht="18" customHeight="1" x14ac:dyDescent="0.25">
      <c r="A61" s="99" t="s">
        <v>58</v>
      </c>
      <c r="B61" s="100"/>
      <c r="C61" s="101"/>
      <c r="D61" s="43"/>
      <c r="E61" s="53"/>
      <c r="F61" s="68" t="s">
        <v>212</v>
      </c>
      <c r="G61" s="106">
        <v>1000</v>
      </c>
      <c r="H61" s="106">
        <v>13000</v>
      </c>
      <c r="I61" s="106">
        <v>1000</v>
      </c>
      <c r="J61" s="70" t="s">
        <v>213</v>
      </c>
      <c r="K61" s="106">
        <v>13897.84</v>
      </c>
      <c r="L61" s="106">
        <v>5778.27</v>
      </c>
      <c r="M61" s="106">
        <f>L61</f>
        <v>5778.27</v>
      </c>
      <c r="N61" s="106">
        <f>O61</f>
        <v>7823</v>
      </c>
      <c r="O61" s="106">
        <v>7823</v>
      </c>
      <c r="P61" s="106">
        <f t="shared" ref="P61:P66" si="102">N61-I61</f>
        <v>6823</v>
      </c>
      <c r="Q61" s="106">
        <v>8635.49</v>
      </c>
      <c r="R61" s="106"/>
      <c r="S61" s="106">
        <v>8990</v>
      </c>
      <c r="T61" s="106">
        <f t="shared" si="90"/>
        <v>7990</v>
      </c>
      <c r="U61" s="107">
        <f t="shared" si="91"/>
        <v>-4907.84</v>
      </c>
      <c r="V61" s="106">
        <f t="shared" si="92"/>
        <v>1167</v>
      </c>
      <c r="W61" s="108"/>
      <c r="X61" s="109">
        <f>9254.4</f>
        <v>9254.4</v>
      </c>
      <c r="Y61" s="24">
        <f t="shared" si="93"/>
        <v>264.39999999999964</v>
      </c>
      <c r="Z61" s="85">
        <v>1000</v>
      </c>
      <c r="AA61" s="29">
        <f t="shared" ref="AA61:AA66" si="103">Z61-I61</f>
        <v>0</v>
      </c>
      <c r="AB61" s="29">
        <f t="shared" ref="AB61:AB66" si="104">Z61-S61</f>
        <v>-7990</v>
      </c>
      <c r="AC61" s="72"/>
      <c r="AD61" s="72"/>
      <c r="AE61" s="72"/>
      <c r="AF61" s="72"/>
      <c r="AG61" s="72"/>
      <c r="AH61" s="85">
        <f t="shared" ref="AH61:AH66" si="105">Z61</f>
        <v>1000</v>
      </c>
      <c r="AI61" s="85">
        <v>1315.97</v>
      </c>
      <c r="AJ61" s="85">
        <f t="shared" ref="AJ61:AJ66" si="106">AH61-Z61</f>
        <v>0</v>
      </c>
      <c r="AK61" s="86">
        <v>1416.47</v>
      </c>
      <c r="AL61" s="123">
        <v>1718.37</v>
      </c>
      <c r="AM61" s="27">
        <f t="shared" si="6"/>
        <v>402.39999999999986</v>
      </c>
      <c r="AN61" s="61">
        <f t="shared" si="7"/>
        <v>718.36999999999989</v>
      </c>
      <c r="AO61" s="62">
        <f t="shared" si="8"/>
        <v>315.97000000000003</v>
      </c>
      <c r="AQ61" s="85" t="s">
        <v>214</v>
      </c>
      <c r="AR61" s="85" t="s">
        <v>214</v>
      </c>
      <c r="AS61" s="85" t="s">
        <v>214</v>
      </c>
      <c r="AT61" s="86">
        <v>1000</v>
      </c>
      <c r="AU61" s="71">
        <v>1718.37</v>
      </c>
      <c r="AV61" s="71">
        <f t="shared" ref="AV61:AV66" si="107">FLOOR(AT61,100)</f>
        <v>1000</v>
      </c>
      <c r="AW61" s="71">
        <f t="shared" ref="AW61:AW66" si="108">AV61-Z61</f>
        <v>0</v>
      </c>
      <c r="AX61" s="76">
        <f t="shared" ref="AX61:AX66" si="109">AT61-Z61</f>
        <v>0</v>
      </c>
      <c r="AY61" s="76">
        <f t="shared" ref="AY61:AY66" si="110">AT61-AL61</f>
        <v>-718.36999999999989</v>
      </c>
      <c r="BE61" s="71">
        <v>1000</v>
      </c>
      <c r="BF61" s="71">
        <v>2098.65</v>
      </c>
      <c r="BG61" s="78">
        <f t="shared" ref="BG61:BG66" si="111">BE61-AV61</f>
        <v>0</v>
      </c>
      <c r="BH61" s="71">
        <f>BF61+1367.6</f>
        <v>3466.25</v>
      </c>
      <c r="BI61" s="33">
        <f t="shared" ref="BI61:BI66" si="112">BF61-AV61</f>
        <v>1098.6500000000001</v>
      </c>
      <c r="BJ61" s="33">
        <f t="shared" ref="BJ61:BJ66" si="113">BF61-AU61</f>
        <v>380.2800000000002</v>
      </c>
      <c r="BK61" s="71">
        <v>6905.05</v>
      </c>
      <c r="BL61" s="79">
        <f t="shared" ref="BL61:BL66" si="114">BK61-BH61</f>
        <v>3438.8</v>
      </c>
      <c r="BM61" s="79">
        <f t="shared" ref="BM61:BM66" si="115">BK61-AV61</f>
        <v>5905.05</v>
      </c>
      <c r="BN61" s="87" t="s">
        <v>214</v>
      </c>
      <c r="BO61" s="87" t="s">
        <v>214</v>
      </c>
      <c r="BP61" s="71">
        <v>6905.05</v>
      </c>
      <c r="BQ61" s="32">
        <f t="shared" si="10"/>
        <v>0</v>
      </c>
      <c r="BR61" s="32">
        <f t="shared" si="11"/>
        <v>5905.05</v>
      </c>
      <c r="BS61" s="32"/>
      <c r="BT61" s="32"/>
      <c r="BU61" s="33"/>
      <c r="BV61" s="34">
        <f t="shared" si="12"/>
        <v>2466.25</v>
      </c>
      <c r="BY61" s="82"/>
      <c r="BZ61" s="82"/>
      <c r="CC61" s="37"/>
      <c r="CD61" s="71">
        <v>1718.37</v>
      </c>
    </row>
    <row r="62" spans="1:82" s="77" customFormat="1" ht="18" customHeight="1" x14ac:dyDescent="0.25">
      <c r="A62" s="99" t="s">
        <v>58</v>
      </c>
      <c r="B62" s="100"/>
      <c r="C62" s="101"/>
      <c r="D62" s="43"/>
      <c r="E62" s="53"/>
      <c r="F62" s="68" t="s">
        <v>215</v>
      </c>
      <c r="G62" s="106">
        <v>0</v>
      </c>
      <c r="H62" s="106"/>
      <c r="I62" s="106">
        <v>0</v>
      </c>
      <c r="J62" s="70"/>
      <c r="K62" s="106">
        <v>0</v>
      </c>
      <c r="L62" s="106"/>
      <c r="M62" s="106"/>
      <c r="N62" s="106"/>
      <c r="O62" s="106">
        <v>0</v>
      </c>
      <c r="P62" s="106">
        <f t="shared" si="102"/>
        <v>0</v>
      </c>
      <c r="Q62" s="106"/>
      <c r="R62" s="106"/>
      <c r="S62" s="106"/>
      <c r="T62" s="106">
        <f t="shared" si="90"/>
        <v>0</v>
      </c>
      <c r="U62" s="107">
        <f t="shared" si="91"/>
        <v>0</v>
      </c>
      <c r="V62" s="106">
        <f t="shared" si="92"/>
        <v>0</v>
      </c>
      <c r="W62" s="108"/>
      <c r="X62" s="109"/>
      <c r="Y62" s="24">
        <f t="shared" si="93"/>
        <v>0</v>
      </c>
      <c r="Z62" s="85">
        <v>0</v>
      </c>
      <c r="AA62" s="29">
        <f t="shared" si="103"/>
        <v>0</v>
      </c>
      <c r="AB62" s="29">
        <f t="shared" si="104"/>
        <v>0</v>
      </c>
      <c r="AC62" s="72"/>
      <c r="AD62" s="72"/>
      <c r="AE62" s="72"/>
      <c r="AF62" s="72"/>
      <c r="AG62" s="72"/>
      <c r="AH62" s="85">
        <f t="shared" si="105"/>
        <v>0</v>
      </c>
      <c r="AI62" s="85"/>
      <c r="AJ62" s="85">
        <f t="shared" si="106"/>
        <v>0</v>
      </c>
      <c r="AK62" s="86">
        <v>0</v>
      </c>
      <c r="AL62" s="123">
        <v>15879.89</v>
      </c>
      <c r="AM62" s="27">
        <f t="shared" si="6"/>
        <v>15879.89</v>
      </c>
      <c r="AN62" s="61">
        <f t="shared" si="7"/>
        <v>15879.89</v>
      </c>
      <c r="AO62" s="62">
        <f t="shared" si="8"/>
        <v>0</v>
      </c>
      <c r="AQ62" s="85"/>
      <c r="AR62" s="85"/>
      <c r="AS62" s="85"/>
      <c r="AT62" s="86">
        <v>45125.02</v>
      </c>
      <c r="AU62" s="71">
        <v>11580.88</v>
      </c>
      <c r="AV62" s="71">
        <f t="shared" si="107"/>
        <v>45100</v>
      </c>
      <c r="AW62" s="71">
        <f t="shared" si="108"/>
        <v>45100</v>
      </c>
      <c r="AX62" s="76">
        <f t="shared" si="109"/>
        <v>45125.02</v>
      </c>
      <c r="AY62" s="76">
        <f t="shared" si="110"/>
        <v>29245.129999999997</v>
      </c>
      <c r="AZ62" s="77" t="s">
        <v>216</v>
      </c>
      <c r="BE62" s="71">
        <v>45100</v>
      </c>
      <c r="BF62" s="71">
        <v>19917.349999999999</v>
      </c>
      <c r="BG62" s="78">
        <f t="shared" si="111"/>
        <v>0</v>
      </c>
      <c r="BH62" s="71">
        <f>BF62</f>
        <v>19917.349999999999</v>
      </c>
      <c r="BI62" s="33">
        <f t="shared" si="112"/>
        <v>-25182.65</v>
      </c>
      <c r="BJ62" s="33">
        <f t="shared" si="113"/>
        <v>8336.4699999999993</v>
      </c>
      <c r="BK62" s="71">
        <v>20018.41</v>
      </c>
      <c r="BL62" s="79">
        <f t="shared" si="114"/>
        <v>101.06000000000131</v>
      </c>
      <c r="BM62" s="79">
        <f t="shared" si="115"/>
        <v>-25081.59</v>
      </c>
      <c r="BN62" s="87" t="s">
        <v>217</v>
      </c>
      <c r="BO62" s="87" t="s">
        <v>217</v>
      </c>
      <c r="BP62" s="71">
        <f>20018.41+906.65</f>
        <v>20925.060000000001</v>
      </c>
      <c r="BQ62" s="32">
        <f t="shared" si="10"/>
        <v>906.65000000000146</v>
      </c>
      <c r="BR62" s="32">
        <f t="shared" si="11"/>
        <v>-24174.94</v>
      </c>
      <c r="BS62" s="87" t="s">
        <v>217</v>
      </c>
      <c r="BT62" s="87" t="s">
        <v>217</v>
      </c>
      <c r="BU62" s="33"/>
      <c r="BV62" s="34">
        <f t="shared" si="12"/>
        <v>-25182.65</v>
      </c>
      <c r="BY62" s="82"/>
      <c r="BZ62" s="82"/>
      <c r="CC62" s="37"/>
      <c r="CD62" s="71">
        <v>11580.88</v>
      </c>
    </row>
    <row r="63" spans="1:82" s="77" customFormat="1" ht="18" customHeight="1" x14ac:dyDescent="0.25">
      <c r="A63" s="99" t="s">
        <v>58</v>
      </c>
      <c r="B63" s="100"/>
      <c r="C63" s="101"/>
      <c r="D63" s="43"/>
      <c r="E63" s="53"/>
      <c r="F63" s="68" t="s">
        <v>218</v>
      </c>
      <c r="G63" s="106">
        <v>61700</v>
      </c>
      <c r="H63" s="106">
        <v>56300</v>
      </c>
      <c r="I63" s="106">
        <v>55000</v>
      </c>
      <c r="J63" s="70" t="s">
        <v>219</v>
      </c>
      <c r="K63" s="106">
        <v>55081.95</v>
      </c>
      <c r="L63" s="106">
        <v>25421.3</v>
      </c>
      <c r="M63" s="106">
        <f>L63</f>
        <v>25421.3</v>
      </c>
      <c r="N63" s="106">
        <f>I63</f>
        <v>55000</v>
      </c>
      <c r="O63" s="106">
        <f>I63</f>
        <v>55000</v>
      </c>
      <c r="P63" s="106">
        <f t="shared" si="102"/>
        <v>0</v>
      </c>
      <c r="Q63" s="106">
        <v>38174.85</v>
      </c>
      <c r="R63" s="106"/>
      <c r="S63" s="106">
        <f>O63</f>
        <v>55000</v>
      </c>
      <c r="T63" s="106">
        <f t="shared" si="90"/>
        <v>0</v>
      </c>
      <c r="U63" s="107">
        <f t="shared" si="91"/>
        <v>-81.94999999999709</v>
      </c>
      <c r="V63" s="106">
        <f t="shared" si="92"/>
        <v>0</v>
      </c>
      <c r="W63" s="108"/>
      <c r="X63" s="109">
        <f>54260.86+130</f>
        <v>54390.86</v>
      </c>
      <c r="Y63" s="24">
        <f t="shared" si="93"/>
        <v>-609.13999999999942</v>
      </c>
      <c r="Z63" s="85">
        <v>55000</v>
      </c>
      <c r="AA63" s="29">
        <f t="shared" si="103"/>
        <v>0</v>
      </c>
      <c r="AB63" s="29">
        <f t="shared" si="104"/>
        <v>0</v>
      </c>
      <c r="AC63" s="72" t="s">
        <v>220</v>
      </c>
      <c r="AD63" s="72"/>
      <c r="AE63" s="72"/>
      <c r="AF63" s="72"/>
      <c r="AG63" s="72"/>
      <c r="AH63" s="85">
        <f t="shared" si="105"/>
        <v>55000</v>
      </c>
      <c r="AI63" s="85">
        <v>64956.46</v>
      </c>
      <c r="AJ63" s="85">
        <f t="shared" si="106"/>
        <v>0</v>
      </c>
      <c r="AK63" s="86">
        <v>75665.570000000007</v>
      </c>
      <c r="AL63" s="123">
        <f>(4657.66+4643.36+4676.51+7833.22+34144.79+2543.96)+12406.04</f>
        <v>70905.540000000008</v>
      </c>
      <c r="AM63" s="27">
        <f t="shared" si="6"/>
        <v>5949.080000000009</v>
      </c>
      <c r="AN63" s="61">
        <f t="shared" si="7"/>
        <v>15905.540000000008</v>
      </c>
      <c r="AO63" s="62">
        <f t="shared" si="8"/>
        <v>9956.4599999999991</v>
      </c>
      <c r="AQ63" s="85" t="s">
        <v>221</v>
      </c>
      <c r="AR63" s="85" t="s">
        <v>222</v>
      </c>
      <c r="AS63" s="85" t="s">
        <v>221</v>
      </c>
      <c r="AT63" s="86">
        <f>15589.73+64751.36+29774.51</f>
        <v>110115.59999999999</v>
      </c>
      <c r="AU63" s="71">
        <v>77696.08</v>
      </c>
      <c r="AV63" s="71">
        <f t="shared" si="107"/>
        <v>110100</v>
      </c>
      <c r="AW63" s="71">
        <f t="shared" si="108"/>
        <v>55100</v>
      </c>
      <c r="AX63" s="76">
        <f t="shared" si="109"/>
        <v>55115.599999999991</v>
      </c>
      <c r="AY63" s="76">
        <f t="shared" si="110"/>
        <v>39210.059999999983</v>
      </c>
      <c r="AZ63" s="77" t="s">
        <v>223</v>
      </c>
      <c r="BE63" s="71">
        <v>110100</v>
      </c>
      <c r="BF63" s="71">
        <f>113386+(20*20)</f>
        <v>113786</v>
      </c>
      <c r="BG63" s="78">
        <f t="shared" si="111"/>
        <v>0</v>
      </c>
      <c r="BH63" s="71">
        <f>BF63</f>
        <v>113786</v>
      </c>
      <c r="BI63" s="33">
        <f t="shared" si="112"/>
        <v>3686</v>
      </c>
      <c r="BJ63" s="33">
        <f t="shared" si="113"/>
        <v>36089.919999999998</v>
      </c>
      <c r="BK63" s="71">
        <f>BH63</f>
        <v>113786</v>
      </c>
      <c r="BL63" s="79">
        <f t="shared" si="114"/>
        <v>0</v>
      </c>
      <c r="BM63" s="79">
        <f t="shared" si="115"/>
        <v>3686</v>
      </c>
      <c r="BN63" s="87" t="s">
        <v>224</v>
      </c>
      <c r="BO63" s="32" t="s">
        <v>224</v>
      </c>
      <c r="BP63" s="71">
        <f>86509.45+5164.91+401.68+1027.3+17832.3</f>
        <v>110935.64</v>
      </c>
      <c r="BQ63" s="32">
        <f t="shared" si="10"/>
        <v>-2850.3600000000006</v>
      </c>
      <c r="BR63" s="32">
        <f t="shared" si="11"/>
        <v>835.63999999999942</v>
      </c>
      <c r="BS63" s="87" t="s">
        <v>224</v>
      </c>
      <c r="BT63" s="87" t="s">
        <v>224</v>
      </c>
      <c r="BU63" s="33"/>
      <c r="BV63" s="34">
        <f t="shared" si="12"/>
        <v>3686</v>
      </c>
      <c r="BY63" s="82"/>
      <c r="BZ63" s="82"/>
      <c r="CC63" s="37"/>
      <c r="CD63" s="71">
        <v>77696.08</v>
      </c>
    </row>
    <row r="64" spans="1:82" s="77" customFormat="1" ht="18" hidden="1" customHeight="1" x14ac:dyDescent="0.25">
      <c r="A64" s="99"/>
      <c r="B64" s="100"/>
      <c r="C64" s="101"/>
      <c r="D64" s="43"/>
      <c r="E64" s="53"/>
      <c r="F64" s="132" t="s">
        <v>225</v>
      </c>
      <c r="G64" s="106">
        <v>0</v>
      </c>
      <c r="H64" s="106"/>
      <c r="I64" s="106">
        <v>0</v>
      </c>
      <c r="J64" s="70"/>
      <c r="K64" s="106">
        <v>0</v>
      </c>
      <c r="L64" s="106"/>
      <c r="M64" s="106"/>
      <c r="N64" s="106"/>
      <c r="O64" s="106">
        <v>0</v>
      </c>
      <c r="P64" s="106">
        <f t="shared" si="102"/>
        <v>0</v>
      </c>
      <c r="Q64" s="106"/>
      <c r="R64" s="106"/>
      <c r="S64" s="106"/>
      <c r="T64" s="106">
        <f t="shared" si="90"/>
        <v>0</v>
      </c>
      <c r="U64" s="107">
        <f t="shared" si="91"/>
        <v>0</v>
      </c>
      <c r="V64" s="106">
        <f t="shared" si="92"/>
        <v>0</v>
      </c>
      <c r="W64" s="108"/>
      <c r="X64" s="109"/>
      <c r="Y64" s="24">
        <f t="shared" si="93"/>
        <v>0</v>
      </c>
      <c r="Z64" s="85"/>
      <c r="AA64" s="29">
        <f t="shared" si="103"/>
        <v>0</v>
      </c>
      <c r="AB64" s="29">
        <f t="shared" si="104"/>
        <v>0</v>
      </c>
      <c r="AC64" s="72"/>
      <c r="AD64" s="72"/>
      <c r="AE64" s="72"/>
      <c r="AF64" s="72"/>
      <c r="AG64" s="72"/>
      <c r="AH64" s="85">
        <f t="shared" si="105"/>
        <v>0</v>
      </c>
      <c r="AI64" s="85"/>
      <c r="AJ64" s="85">
        <f t="shared" si="106"/>
        <v>0</v>
      </c>
      <c r="AK64" s="86"/>
      <c r="AL64" s="133"/>
      <c r="AM64" s="27">
        <f t="shared" si="6"/>
        <v>0</v>
      </c>
      <c r="AN64" s="61">
        <f t="shared" si="7"/>
        <v>0</v>
      </c>
      <c r="AO64" s="62">
        <f t="shared" si="8"/>
        <v>0</v>
      </c>
      <c r="AQ64" s="85"/>
      <c r="AR64" s="85"/>
      <c r="AS64" s="85"/>
      <c r="AT64" s="86"/>
      <c r="AU64" s="71">
        <f>FLOOR(BD64,100)</f>
        <v>0</v>
      </c>
      <c r="AV64" s="71">
        <f t="shared" si="107"/>
        <v>0</v>
      </c>
      <c r="AW64" s="71">
        <f t="shared" si="108"/>
        <v>0</v>
      </c>
      <c r="AX64" s="76">
        <f t="shared" si="109"/>
        <v>0</v>
      </c>
      <c r="AY64" s="76">
        <f t="shared" si="110"/>
        <v>0</v>
      </c>
      <c r="BE64" s="71">
        <v>0</v>
      </c>
      <c r="BF64" s="71"/>
      <c r="BG64" s="78">
        <f t="shared" si="111"/>
        <v>0</v>
      </c>
      <c r="BH64" s="71">
        <f>BF64</f>
        <v>0</v>
      </c>
      <c r="BI64" s="33">
        <f t="shared" si="112"/>
        <v>0</v>
      </c>
      <c r="BJ64" s="33">
        <f t="shared" si="113"/>
        <v>0</v>
      </c>
      <c r="BK64" s="71"/>
      <c r="BL64" s="79">
        <f t="shared" si="114"/>
        <v>0</v>
      </c>
      <c r="BM64" s="79">
        <f t="shared" si="115"/>
        <v>0</v>
      </c>
      <c r="BN64" s="32"/>
      <c r="BO64" s="32"/>
      <c r="BP64" s="71"/>
      <c r="BQ64" s="32">
        <f t="shared" si="10"/>
        <v>0</v>
      </c>
      <c r="BR64" s="32">
        <f t="shared" si="11"/>
        <v>0</v>
      </c>
      <c r="BS64" s="32"/>
      <c r="BT64" s="32"/>
      <c r="BU64" s="33"/>
      <c r="BV64" s="34">
        <f t="shared" si="12"/>
        <v>0</v>
      </c>
      <c r="BY64" s="82"/>
      <c r="BZ64" s="82"/>
      <c r="CC64" s="37"/>
      <c r="CD64" s="71"/>
    </row>
    <row r="65" spans="1:82" s="77" customFormat="1" ht="18" customHeight="1" x14ac:dyDescent="0.25">
      <c r="A65" s="99"/>
      <c r="B65" s="100"/>
      <c r="C65" s="101"/>
      <c r="D65" s="43"/>
      <c r="E65" s="53"/>
      <c r="F65" s="68" t="s">
        <v>226</v>
      </c>
      <c r="G65" s="106">
        <v>30400</v>
      </c>
      <c r="H65" s="106">
        <v>28000</v>
      </c>
      <c r="I65" s="106">
        <v>30900</v>
      </c>
      <c r="J65" s="70" t="s">
        <v>227</v>
      </c>
      <c r="K65" s="106">
        <v>29004.799999999999</v>
      </c>
      <c r="L65" s="106">
        <v>28864</v>
      </c>
      <c r="M65" s="106">
        <f>I65/2</f>
        <v>15450</v>
      </c>
      <c r="N65" s="106">
        <f>M65*2</f>
        <v>30900</v>
      </c>
      <c r="O65" s="106">
        <f>I65</f>
        <v>30900</v>
      </c>
      <c r="P65" s="106">
        <f t="shared" si="102"/>
        <v>0</v>
      </c>
      <c r="Q65" s="106">
        <v>28864</v>
      </c>
      <c r="R65" s="106"/>
      <c r="S65" s="106">
        <f>I65</f>
        <v>30900</v>
      </c>
      <c r="T65" s="106">
        <f t="shared" si="90"/>
        <v>0</v>
      </c>
      <c r="U65" s="107">
        <f t="shared" si="91"/>
        <v>1895.2000000000007</v>
      </c>
      <c r="V65" s="106">
        <f t="shared" si="92"/>
        <v>0</v>
      </c>
      <c r="W65" s="108"/>
      <c r="X65" s="109">
        <f>28864+(14*140.8)</f>
        <v>30835.200000000001</v>
      </c>
      <c r="Y65" s="24">
        <f t="shared" si="93"/>
        <v>-64.799999999999272</v>
      </c>
      <c r="Z65" s="85">
        <v>30835</v>
      </c>
      <c r="AA65" s="29">
        <f t="shared" si="103"/>
        <v>-65</v>
      </c>
      <c r="AB65" s="29">
        <f t="shared" si="104"/>
        <v>-65</v>
      </c>
      <c r="AC65" s="72" t="s">
        <v>228</v>
      </c>
      <c r="AD65" s="72" t="s">
        <v>229</v>
      </c>
      <c r="AE65" s="72"/>
      <c r="AF65" s="72"/>
      <c r="AG65" s="72"/>
      <c r="AH65" s="85">
        <f t="shared" si="105"/>
        <v>30835</v>
      </c>
      <c r="AI65" s="85">
        <f>Z65</f>
        <v>30835</v>
      </c>
      <c r="AJ65" s="85">
        <f t="shared" si="106"/>
        <v>0</v>
      </c>
      <c r="AK65" s="86">
        <v>30835</v>
      </c>
      <c r="AL65" s="123">
        <v>29004.799999999999</v>
      </c>
      <c r="AM65" s="27">
        <f t="shared" si="6"/>
        <v>-1830.2000000000007</v>
      </c>
      <c r="AN65" s="61">
        <f t="shared" si="7"/>
        <v>-1830.2000000000007</v>
      </c>
      <c r="AO65" s="62">
        <f t="shared" si="8"/>
        <v>0</v>
      </c>
      <c r="AQ65" s="85"/>
      <c r="AR65" s="85"/>
      <c r="AS65" s="85"/>
      <c r="AT65" s="86">
        <f>AL65</f>
        <v>29004.799999999999</v>
      </c>
      <c r="AU65" s="71">
        <v>29004.799999999999</v>
      </c>
      <c r="AV65" s="71">
        <f t="shared" si="107"/>
        <v>29000</v>
      </c>
      <c r="AW65" s="71">
        <f t="shared" si="108"/>
        <v>-1835</v>
      </c>
      <c r="AX65" s="76">
        <f t="shared" si="109"/>
        <v>-1830.2000000000007</v>
      </c>
      <c r="AY65" s="76">
        <f t="shared" si="110"/>
        <v>0</v>
      </c>
      <c r="BE65" s="71">
        <v>29000</v>
      </c>
      <c r="BF65" s="71">
        <v>32384</v>
      </c>
      <c r="BG65" s="78">
        <f t="shared" si="111"/>
        <v>0</v>
      </c>
      <c r="BH65" s="71">
        <f>BF65</f>
        <v>32384</v>
      </c>
      <c r="BI65" s="33">
        <f t="shared" si="112"/>
        <v>3384</v>
      </c>
      <c r="BJ65" s="33">
        <f t="shared" si="113"/>
        <v>3379.2000000000007</v>
      </c>
      <c r="BK65" s="71">
        <v>32665.599999999999</v>
      </c>
      <c r="BL65" s="79">
        <f t="shared" si="114"/>
        <v>281.59999999999854</v>
      </c>
      <c r="BM65" s="79">
        <f t="shared" si="115"/>
        <v>3665.5999999999985</v>
      </c>
      <c r="BN65" s="32"/>
      <c r="BO65" s="32"/>
      <c r="BP65" s="71">
        <v>32665.200000000001</v>
      </c>
      <c r="BQ65" s="32">
        <f t="shared" si="10"/>
        <v>-0.39999999999781721</v>
      </c>
      <c r="BR65" s="32">
        <f t="shared" si="11"/>
        <v>3665.2000000000007</v>
      </c>
      <c r="BS65" s="32"/>
      <c r="BT65" s="32"/>
      <c r="BU65" s="33"/>
      <c r="BV65" s="34">
        <f t="shared" si="12"/>
        <v>3384</v>
      </c>
      <c r="BY65" s="82"/>
      <c r="BZ65" s="82"/>
      <c r="CC65" s="37"/>
      <c r="CD65" s="71">
        <v>29004.799999999999</v>
      </c>
    </row>
    <row r="66" spans="1:82" s="77" customFormat="1" ht="18" customHeight="1" x14ac:dyDescent="0.25">
      <c r="A66" s="99"/>
      <c r="B66" s="100"/>
      <c r="C66" s="101"/>
      <c r="D66" s="43"/>
      <c r="E66" s="53"/>
      <c r="F66" s="68" t="s">
        <v>230</v>
      </c>
      <c r="G66" s="106">
        <v>648400</v>
      </c>
      <c r="H66" s="106">
        <v>593600</v>
      </c>
      <c r="I66" s="106">
        <v>600200</v>
      </c>
      <c r="J66" s="70" t="s">
        <v>231</v>
      </c>
      <c r="K66" s="106">
        <v>593790.80000000005</v>
      </c>
      <c r="L66" s="106">
        <v>204496.48</v>
      </c>
      <c r="M66" s="106">
        <v>273935.21999999997</v>
      </c>
      <c r="N66" s="106">
        <f>O66</f>
        <v>613489.44999999995</v>
      </c>
      <c r="O66" s="106">
        <v>613489.44999999995</v>
      </c>
      <c r="P66" s="106">
        <f t="shared" si="102"/>
        <v>13289.449999999953</v>
      </c>
      <c r="Q66" s="106">
        <v>408992.96</v>
      </c>
      <c r="R66" s="106"/>
      <c r="S66" s="106">
        <v>919109.66</v>
      </c>
      <c r="T66" s="106">
        <f t="shared" si="90"/>
        <v>318909.66000000003</v>
      </c>
      <c r="U66" s="107">
        <f t="shared" si="91"/>
        <v>325318.86</v>
      </c>
      <c r="V66" s="106">
        <f t="shared" si="92"/>
        <v>305620.21000000008</v>
      </c>
      <c r="W66" s="108" t="s">
        <v>232</v>
      </c>
      <c r="X66" s="109">
        <f>AC66</f>
        <v>920645.42999999993</v>
      </c>
      <c r="Y66" s="24">
        <f t="shared" si="93"/>
        <v>1535.7699999999022</v>
      </c>
      <c r="Z66" s="85">
        <v>920645</v>
      </c>
      <c r="AA66" s="29">
        <f t="shared" si="103"/>
        <v>320445</v>
      </c>
      <c r="AB66" s="29">
        <f t="shared" si="104"/>
        <v>1535.3399999999674</v>
      </c>
      <c r="AC66" s="85">
        <f>613489.45+307155.98</f>
        <v>920645.42999999993</v>
      </c>
      <c r="AD66" s="85">
        <f>'[1]CONTRIBUTO RINNOVO CCPL'!C12</f>
        <v>941583.03004974534</v>
      </c>
      <c r="AE66" s="72">
        <f>AD66-AC66</f>
        <v>20937.600049745408</v>
      </c>
      <c r="AF66" s="72"/>
      <c r="AG66" s="72"/>
      <c r="AH66" s="85">
        <f t="shared" si="105"/>
        <v>920645</v>
      </c>
      <c r="AI66" s="85">
        <f>Z66</f>
        <v>920645</v>
      </c>
      <c r="AJ66" s="85">
        <f t="shared" si="106"/>
        <v>0</v>
      </c>
      <c r="AK66" s="86">
        <v>1089251.59974</v>
      </c>
      <c r="AL66" s="123">
        <f>1097660.86-108270.95</f>
        <v>989389.91000000015</v>
      </c>
      <c r="AM66" s="27">
        <f t="shared" ref="AM66:AM129" si="116">AL66-AI66</f>
        <v>68744.910000000149</v>
      </c>
      <c r="AN66" s="61">
        <f t="shared" ref="AN66:AN129" si="117">AL66-Z66</f>
        <v>68744.910000000149</v>
      </c>
      <c r="AO66" s="62">
        <f t="shared" ref="AO66:AO129" si="118">AI66-Z66</f>
        <v>0</v>
      </c>
      <c r="AQ66" s="85" t="s">
        <v>233</v>
      </c>
      <c r="AR66" s="85" t="s">
        <v>234</v>
      </c>
      <c r="AS66" s="85" t="s">
        <v>233</v>
      </c>
      <c r="AT66" s="86">
        <f>953023.08-4842.21-44667.14</f>
        <v>903513.73</v>
      </c>
      <c r="AU66" s="71">
        <v>1097660.8600000001</v>
      </c>
      <c r="AV66" s="71">
        <f t="shared" si="107"/>
        <v>903500</v>
      </c>
      <c r="AW66" s="71">
        <f t="shared" si="108"/>
        <v>-17145</v>
      </c>
      <c r="AX66" s="76">
        <f t="shared" si="109"/>
        <v>-17131.270000000019</v>
      </c>
      <c r="AY66" s="76">
        <f t="shared" si="110"/>
        <v>-85876.180000000168</v>
      </c>
      <c r="BE66" s="71">
        <v>903500</v>
      </c>
      <c r="BF66" s="71">
        <f>AV66+488817.5+179784.13</f>
        <v>1572101.63</v>
      </c>
      <c r="BG66" s="78">
        <f t="shared" si="111"/>
        <v>0</v>
      </c>
      <c r="BH66" s="71">
        <f>BF66</f>
        <v>1572101.63</v>
      </c>
      <c r="BI66" s="33">
        <f t="shared" si="112"/>
        <v>668601.62999999989</v>
      </c>
      <c r="BJ66" s="33">
        <f t="shared" si="113"/>
        <v>474440.76999999979</v>
      </c>
      <c r="BK66" s="71">
        <v>3042850.2600000002</v>
      </c>
      <c r="BL66" s="79">
        <f t="shared" si="114"/>
        <v>1470748.6300000004</v>
      </c>
      <c r="BM66" s="79">
        <f t="shared" si="115"/>
        <v>2139350.2600000002</v>
      </c>
      <c r="BN66" s="87" t="s">
        <v>235</v>
      </c>
      <c r="BO66" s="87"/>
      <c r="BP66" s="71">
        <v>3042850.26</v>
      </c>
      <c r="BQ66" s="32">
        <f t="shared" ref="BQ66:BQ129" si="119">BP66-BK66</f>
        <v>0</v>
      </c>
      <c r="BR66" s="32">
        <f t="shared" ref="BR66:BR129" si="120">BP66-AV66</f>
        <v>2139350.2599999998</v>
      </c>
      <c r="BS66" s="32"/>
      <c r="BT66" s="87" t="s">
        <v>235</v>
      </c>
      <c r="BU66" s="33"/>
      <c r="BV66" s="34">
        <f t="shared" ref="BV66:BV129" si="121">BH66-AV66</f>
        <v>668601.62999999989</v>
      </c>
      <c r="BW66" s="87" t="s">
        <v>235</v>
      </c>
      <c r="BY66" s="82"/>
      <c r="BZ66" s="82"/>
      <c r="CC66" s="37"/>
      <c r="CD66" s="71">
        <v>1097660.8600000001</v>
      </c>
    </row>
    <row r="67" spans="1:82" s="63" customFormat="1" ht="18" customHeight="1" x14ac:dyDescent="0.25">
      <c r="A67" s="96" t="s">
        <v>58</v>
      </c>
      <c r="B67" s="97"/>
      <c r="C67" s="98"/>
      <c r="D67" s="44"/>
      <c r="E67" s="53" t="s">
        <v>236</v>
      </c>
      <c r="F67" s="54"/>
      <c r="G67" s="55">
        <v>184300</v>
      </c>
      <c r="H67" s="55">
        <v>187000</v>
      </c>
      <c r="I67" s="55">
        <f t="shared" ref="I67:Q67" si="122">SUM(I68:I77)</f>
        <v>187200</v>
      </c>
      <c r="J67" s="55">
        <f t="shared" si="122"/>
        <v>0</v>
      </c>
      <c r="K67" s="55">
        <f t="shared" si="122"/>
        <v>311022.45999999996</v>
      </c>
      <c r="L67" s="55">
        <f t="shared" si="122"/>
        <v>75872.760000000009</v>
      </c>
      <c r="M67" s="55">
        <f t="shared" si="122"/>
        <v>79673.540000000008</v>
      </c>
      <c r="N67" s="55">
        <f t="shared" si="122"/>
        <v>135543.87</v>
      </c>
      <c r="O67" s="55">
        <f t="shared" si="122"/>
        <v>216955.87</v>
      </c>
      <c r="P67" s="55">
        <f t="shared" si="122"/>
        <v>-51656.13</v>
      </c>
      <c r="Q67" s="55">
        <f t="shared" si="122"/>
        <v>155735.78</v>
      </c>
      <c r="R67" s="55"/>
      <c r="S67" s="55">
        <f>SUM(S68:S77)</f>
        <v>221861.04666666666</v>
      </c>
      <c r="T67" s="55">
        <f t="shared" si="90"/>
        <v>34661.046666666662</v>
      </c>
      <c r="U67" s="56">
        <f t="shared" si="91"/>
        <v>-89161.413333333301</v>
      </c>
      <c r="V67" s="55">
        <f t="shared" si="92"/>
        <v>4905.1766666666663</v>
      </c>
      <c r="W67" s="57"/>
      <c r="X67" s="58">
        <f>SUM(X68:X77)</f>
        <v>293788.01151515153</v>
      </c>
      <c r="Y67" s="59">
        <f t="shared" si="93"/>
        <v>71926.964848484873</v>
      </c>
      <c r="Z67" s="33">
        <f t="shared" ref="Z67:AL67" si="123">SUM(Z68:Z78)</f>
        <v>192491</v>
      </c>
      <c r="AA67" s="33">
        <f t="shared" si="123"/>
        <v>991</v>
      </c>
      <c r="AB67" s="33">
        <f t="shared" si="123"/>
        <v>-34922.046666666662</v>
      </c>
      <c r="AC67" s="33">
        <f t="shared" si="123"/>
        <v>0</v>
      </c>
      <c r="AD67" s="33">
        <f t="shared" si="123"/>
        <v>0</v>
      </c>
      <c r="AE67" s="33">
        <f t="shared" si="123"/>
        <v>0</v>
      </c>
      <c r="AF67" s="33">
        <f t="shared" si="123"/>
        <v>0</v>
      </c>
      <c r="AG67" s="33">
        <f t="shared" si="123"/>
        <v>0</v>
      </c>
      <c r="AH67" s="33">
        <f t="shared" si="123"/>
        <v>192491</v>
      </c>
      <c r="AI67" s="33">
        <f t="shared" si="123"/>
        <v>289071.1157142857</v>
      </c>
      <c r="AJ67" s="33">
        <f t="shared" si="123"/>
        <v>0</v>
      </c>
      <c r="AK67" s="60">
        <f t="shared" si="123"/>
        <v>289439.72333333333</v>
      </c>
      <c r="AL67" s="33">
        <f t="shared" si="123"/>
        <v>276717.72545454546</v>
      </c>
      <c r="AM67" s="27">
        <f t="shared" si="116"/>
        <v>-12353.390259740234</v>
      </c>
      <c r="AN67" s="61">
        <f t="shared" si="117"/>
        <v>84226.725454545463</v>
      </c>
      <c r="AO67" s="62">
        <f t="shared" si="118"/>
        <v>96580.115714285697</v>
      </c>
      <c r="AQ67" s="33"/>
      <c r="AR67" s="33"/>
      <c r="AS67" s="33"/>
      <c r="AT67" s="60">
        <f t="shared" ref="AT67:BP67" si="124">SUM(AT68:AT78)</f>
        <v>198336.13272727269</v>
      </c>
      <c r="AU67" s="33">
        <f t="shared" si="124"/>
        <v>286812.46999999997</v>
      </c>
      <c r="AV67" s="33">
        <f t="shared" si="124"/>
        <v>198100</v>
      </c>
      <c r="AW67" s="33">
        <f t="shared" si="124"/>
        <v>5609</v>
      </c>
      <c r="AX67" s="33">
        <f t="shared" si="124"/>
        <v>5845.1327272727267</v>
      </c>
      <c r="AY67" s="33">
        <f t="shared" si="124"/>
        <v>-78381.592727272713</v>
      </c>
      <c r="AZ67" s="33">
        <f t="shared" si="124"/>
        <v>0</v>
      </c>
      <c r="BA67" s="33">
        <f t="shared" si="124"/>
        <v>0</v>
      </c>
      <c r="BB67" s="33">
        <f t="shared" si="124"/>
        <v>0</v>
      </c>
      <c r="BC67" s="33">
        <f t="shared" si="124"/>
        <v>0</v>
      </c>
      <c r="BD67" s="33">
        <f t="shared" si="124"/>
        <v>0</v>
      </c>
      <c r="BE67" s="33">
        <f t="shared" si="124"/>
        <v>198100</v>
      </c>
      <c r="BF67" s="33">
        <f t="shared" si="124"/>
        <v>238670.78142857141</v>
      </c>
      <c r="BG67" s="33">
        <f t="shared" si="124"/>
        <v>0</v>
      </c>
      <c r="BH67" s="33">
        <f t="shared" si="124"/>
        <v>238174.08333333331</v>
      </c>
      <c r="BI67" s="33">
        <f t="shared" si="124"/>
        <v>40570.781428571419</v>
      </c>
      <c r="BJ67" s="33">
        <f t="shared" si="124"/>
        <v>-48141.688571428575</v>
      </c>
      <c r="BK67" s="33">
        <f t="shared" si="124"/>
        <v>238488.88090909089</v>
      </c>
      <c r="BL67" s="33">
        <f t="shared" si="124"/>
        <v>314.79757575758049</v>
      </c>
      <c r="BM67" s="33">
        <f t="shared" si="124"/>
        <v>40388.880909090905</v>
      </c>
      <c r="BN67" s="33">
        <f t="shared" si="124"/>
        <v>0</v>
      </c>
      <c r="BO67" s="33">
        <f t="shared" si="124"/>
        <v>0</v>
      </c>
      <c r="BP67" s="33">
        <f t="shared" si="124"/>
        <v>242006.83</v>
      </c>
      <c r="BQ67" s="32">
        <f t="shared" si="119"/>
        <v>3517.9490909090964</v>
      </c>
      <c r="BR67" s="32">
        <f t="shared" si="120"/>
        <v>43906.829999999987</v>
      </c>
      <c r="BS67" s="32"/>
      <c r="BT67" s="32"/>
      <c r="BU67" s="33"/>
      <c r="BV67" s="34">
        <f t="shared" si="121"/>
        <v>40074.083333333314</v>
      </c>
      <c r="BW67" s="63">
        <v>488817.5</v>
      </c>
      <c r="BY67" s="64"/>
      <c r="BZ67" s="64"/>
      <c r="CC67" s="37"/>
      <c r="CD67" s="33">
        <f>SUM(CD68:CD78)</f>
        <v>286812.46999999997</v>
      </c>
    </row>
    <row r="68" spans="1:82" s="77" customFormat="1" ht="18" customHeight="1" x14ac:dyDescent="0.25">
      <c r="A68" s="99" t="s">
        <v>58</v>
      </c>
      <c r="B68" s="100"/>
      <c r="C68" s="101"/>
      <c r="D68" s="43"/>
      <c r="E68" s="53"/>
      <c r="F68" s="68" t="s">
        <v>237</v>
      </c>
      <c r="G68" s="106">
        <v>91700</v>
      </c>
      <c r="H68" s="106">
        <v>91700</v>
      </c>
      <c r="I68" s="106">
        <v>91700</v>
      </c>
      <c r="J68" s="70" t="s">
        <v>238</v>
      </c>
      <c r="K68" s="106">
        <v>107833.89</v>
      </c>
      <c r="L68" s="106">
        <v>21732</v>
      </c>
      <c r="M68" s="106">
        <f>L68</f>
        <v>21732</v>
      </c>
      <c r="N68" s="106">
        <f>M68*2</f>
        <v>43464</v>
      </c>
      <c r="O68" s="106">
        <f>I68</f>
        <v>91700</v>
      </c>
      <c r="P68" s="106">
        <f t="shared" ref="P68:P78" si="125">N68-I68</f>
        <v>-48236</v>
      </c>
      <c r="Q68" s="106">
        <v>47667</v>
      </c>
      <c r="R68" s="106"/>
      <c r="S68" s="106">
        <f>I68</f>
        <v>91700</v>
      </c>
      <c r="T68" s="106">
        <f t="shared" si="90"/>
        <v>0</v>
      </c>
      <c r="U68" s="107">
        <f t="shared" si="91"/>
        <v>-16133.89</v>
      </c>
      <c r="V68" s="106">
        <f t="shared" si="92"/>
        <v>0</v>
      </c>
      <c r="W68" s="108"/>
      <c r="X68" s="134">
        <f>80679/3*4</f>
        <v>107572</v>
      </c>
      <c r="Y68" s="24">
        <f t="shared" si="93"/>
        <v>15872</v>
      </c>
      <c r="Z68" s="85">
        <v>91700</v>
      </c>
      <c r="AA68" s="29">
        <f t="shared" ref="AA68:AA78" si="126">Z68-I68</f>
        <v>0</v>
      </c>
      <c r="AB68" s="29">
        <f t="shared" ref="AB68:AB78" si="127">Z68-S68</f>
        <v>0</v>
      </c>
      <c r="AC68" s="72"/>
      <c r="AD68" s="72"/>
      <c r="AE68" s="72"/>
      <c r="AF68" s="72"/>
      <c r="AG68" s="72"/>
      <c r="AH68" s="85">
        <f t="shared" ref="AH68:AH78" si="128">Z68</f>
        <v>91700</v>
      </c>
      <c r="AI68" s="85">
        <f>AI94</f>
        <v>112312.9</v>
      </c>
      <c r="AJ68" s="85">
        <f t="shared" ref="AJ68:AJ78" si="129">AH68-Z68</f>
        <v>0</v>
      </c>
      <c r="AK68" s="86">
        <v>112312.9</v>
      </c>
      <c r="AL68" s="123">
        <f>AL94</f>
        <v>105230.61939393939</v>
      </c>
      <c r="AM68" s="27">
        <f t="shared" si="116"/>
        <v>-7082.280606060609</v>
      </c>
      <c r="AN68" s="61">
        <f t="shared" si="117"/>
        <v>13530.619393939385</v>
      </c>
      <c r="AO68" s="62">
        <f t="shared" si="118"/>
        <v>20612.899999999994</v>
      </c>
      <c r="AQ68" s="85" t="s">
        <v>239</v>
      </c>
      <c r="AR68" s="85" t="s">
        <v>239</v>
      </c>
      <c r="AS68" s="85" t="s">
        <v>239</v>
      </c>
      <c r="AT68" s="86">
        <f>Z68</f>
        <v>91700</v>
      </c>
      <c r="AU68" s="71">
        <v>112700.17</v>
      </c>
      <c r="AV68" s="71">
        <f t="shared" ref="AV68:AV78" si="130">FLOOR(AT68,100)</f>
        <v>91700</v>
      </c>
      <c r="AW68" s="71">
        <f t="shared" ref="AW68:AW78" si="131">AV68-Z68</f>
        <v>0</v>
      </c>
      <c r="AX68" s="76">
        <f t="shared" ref="AX68:AX78" si="132">AT68-Z68</f>
        <v>0</v>
      </c>
      <c r="AY68" s="76">
        <f t="shared" ref="AY68:AY78" si="133">AT68-AL68</f>
        <v>-13530.619393939385</v>
      </c>
      <c r="AZ68" s="77" t="s">
        <v>240</v>
      </c>
      <c r="BE68" s="71">
        <v>91700</v>
      </c>
      <c r="BF68" s="71">
        <f>BF94</f>
        <v>112582.39999999999</v>
      </c>
      <c r="BG68" s="78">
        <f t="shared" ref="BG68:BG78" si="134">BE68-AV68</f>
        <v>0</v>
      </c>
      <c r="BH68" s="71">
        <f>BF68</f>
        <v>112582.39999999999</v>
      </c>
      <c r="BI68" s="33">
        <f t="shared" ref="BI68:BI78" si="135">BF68-AV68</f>
        <v>20882.399999999994</v>
      </c>
      <c r="BJ68" s="33">
        <f t="shared" ref="BJ68:BJ78" si="136">BF68-AU68</f>
        <v>-117.77000000000407</v>
      </c>
      <c r="BK68" s="71">
        <f>BK94</f>
        <v>114501.66666666667</v>
      </c>
      <c r="BL68" s="79">
        <f t="shared" ref="BL68:BL78" si="137">BK68-BH68</f>
        <v>1919.2666666666773</v>
      </c>
      <c r="BM68" s="79">
        <f t="shared" ref="BM68:BM78" si="138">BK68-AV68</f>
        <v>22801.666666666672</v>
      </c>
      <c r="BN68" s="87" t="s">
        <v>241</v>
      </c>
      <c r="BO68" s="87" t="s">
        <v>241</v>
      </c>
      <c r="BP68" s="71">
        <v>112916.26</v>
      </c>
      <c r="BQ68" s="32">
        <f t="shared" si="119"/>
        <v>-1585.4066666666768</v>
      </c>
      <c r="BR68" s="32">
        <f t="shared" si="120"/>
        <v>21216.259999999995</v>
      </c>
      <c r="BS68" s="87" t="s">
        <v>241</v>
      </c>
      <c r="BT68" s="87" t="s">
        <v>241</v>
      </c>
      <c r="BU68" s="33"/>
      <c r="BV68" s="34">
        <f t="shared" si="121"/>
        <v>20882.399999999994</v>
      </c>
      <c r="BW68" s="77">
        <v>179784.13</v>
      </c>
      <c r="BY68" s="82"/>
      <c r="BZ68" s="82"/>
      <c r="CC68" s="37"/>
      <c r="CD68" s="71">
        <v>112700.17</v>
      </c>
    </row>
    <row r="69" spans="1:82" s="77" customFormat="1" ht="18" customHeight="1" x14ac:dyDescent="0.25">
      <c r="A69" s="99" t="s">
        <v>58</v>
      </c>
      <c r="B69" s="100"/>
      <c r="C69" s="101"/>
      <c r="D69" s="43"/>
      <c r="E69" s="53"/>
      <c r="F69" s="68" t="s">
        <v>242</v>
      </c>
      <c r="G69" s="106">
        <v>70500</v>
      </c>
      <c r="H69" s="106">
        <v>70500</v>
      </c>
      <c r="I69" s="106">
        <v>70500</v>
      </c>
      <c r="J69" s="70" t="s">
        <v>243</v>
      </c>
      <c r="K69" s="106">
        <v>172575.28</v>
      </c>
      <c r="L69" s="106">
        <v>18662</v>
      </c>
      <c r="M69" s="106">
        <f>L69</f>
        <v>18662</v>
      </c>
      <c r="N69" s="106">
        <f>M69*2</f>
        <v>37324</v>
      </c>
      <c r="O69" s="106">
        <f>I69</f>
        <v>70500</v>
      </c>
      <c r="P69" s="106">
        <f t="shared" si="125"/>
        <v>-33176</v>
      </c>
      <c r="Q69" s="106">
        <v>67410</v>
      </c>
      <c r="R69" s="106"/>
      <c r="S69" s="106">
        <f>I69</f>
        <v>70500</v>
      </c>
      <c r="T69" s="106">
        <f t="shared" si="90"/>
        <v>0</v>
      </c>
      <c r="U69" s="107">
        <f t="shared" si="91"/>
        <v>-102075.28</v>
      </c>
      <c r="V69" s="106">
        <f t="shared" si="92"/>
        <v>0</v>
      </c>
      <c r="W69" s="108"/>
      <c r="X69" s="134">
        <f>93937/3*4</f>
        <v>125249.33333333333</v>
      </c>
      <c r="Y69" s="24">
        <f t="shared" si="93"/>
        <v>54749.333333333328</v>
      </c>
      <c r="Z69" s="85">
        <v>70500</v>
      </c>
      <c r="AA69" s="29">
        <f t="shared" si="126"/>
        <v>0</v>
      </c>
      <c r="AB69" s="29">
        <f t="shared" si="127"/>
        <v>0</v>
      </c>
      <c r="AC69" s="72"/>
      <c r="AD69" s="72"/>
      <c r="AE69" s="72"/>
      <c r="AF69" s="72"/>
      <c r="AG69" s="72"/>
      <c r="AH69" s="85">
        <f t="shared" si="128"/>
        <v>70500</v>
      </c>
      <c r="AI69" s="85">
        <f>AI95</f>
        <v>111567.78</v>
      </c>
      <c r="AJ69" s="85">
        <f t="shared" si="129"/>
        <v>0</v>
      </c>
      <c r="AK69" s="86">
        <v>111567.78</v>
      </c>
      <c r="AL69" s="123">
        <f>AL95</f>
        <v>106188.05333333333</v>
      </c>
      <c r="AM69" s="27">
        <f t="shared" si="116"/>
        <v>-5379.7266666666692</v>
      </c>
      <c r="AN69" s="61">
        <f t="shared" si="117"/>
        <v>35688.05333333333</v>
      </c>
      <c r="AO69" s="62">
        <f t="shared" si="118"/>
        <v>41067.78</v>
      </c>
      <c r="AQ69" s="85" t="s">
        <v>239</v>
      </c>
      <c r="AR69" s="85" t="s">
        <v>239</v>
      </c>
      <c r="AS69" s="85" t="s">
        <v>239</v>
      </c>
      <c r="AT69" s="86">
        <f>Z69</f>
        <v>70500</v>
      </c>
      <c r="AU69" s="71">
        <v>103183.03999999999</v>
      </c>
      <c r="AV69" s="71">
        <f t="shared" si="130"/>
        <v>70500</v>
      </c>
      <c r="AW69" s="71">
        <f t="shared" si="131"/>
        <v>0</v>
      </c>
      <c r="AX69" s="76">
        <f t="shared" si="132"/>
        <v>0</v>
      </c>
      <c r="AY69" s="76">
        <f t="shared" si="133"/>
        <v>-35688.05333333333</v>
      </c>
      <c r="AZ69" s="77" t="s">
        <v>240</v>
      </c>
      <c r="BE69" s="71">
        <v>70500</v>
      </c>
      <c r="BF69" s="71">
        <f>BF95</f>
        <v>89551.22</v>
      </c>
      <c r="BG69" s="78">
        <f t="shared" si="134"/>
        <v>0</v>
      </c>
      <c r="BH69" s="71">
        <f>BF69</f>
        <v>89551.22</v>
      </c>
      <c r="BI69" s="33">
        <f t="shared" si="135"/>
        <v>19051.22</v>
      </c>
      <c r="BJ69" s="33">
        <f t="shared" si="136"/>
        <v>-13631.819999999992</v>
      </c>
      <c r="BK69" s="71">
        <f>BK95</f>
        <v>84562.333333333328</v>
      </c>
      <c r="BL69" s="79">
        <f t="shared" si="137"/>
        <v>-4988.8866666666727</v>
      </c>
      <c r="BM69" s="79">
        <f t="shared" si="138"/>
        <v>14062.333333333328</v>
      </c>
      <c r="BN69" s="87" t="s">
        <v>241</v>
      </c>
      <c r="BO69" s="87" t="s">
        <v>241</v>
      </c>
      <c r="BP69" s="71">
        <v>84172.18</v>
      </c>
      <c r="BQ69" s="32">
        <f t="shared" si="119"/>
        <v>-390.15333333333547</v>
      </c>
      <c r="BR69" s="32">
        <f t="shared" si="120"/>
        <v>13672.179999999993</v>
      </c>
      <c r="BS69" s="87" t="s">
        <v>241</v>
      </c>
      <c r="BT69" s="87" t="s">
        <v>241</v>
      </c>
      <c r="BU69" s="33"/>
      <c r="BV69" s="34">
        <f t="shared" si="121"/>
        <v>19051.22</v>
      </c>
      <c r="BW69" s="77">
        <f>SUM(BW67:BW68)</f>
        <v>668601.63</v>
      </c>
      <c r="BY69" s="82"/>
      <c r="BZ69" s="82"/>
      <c r="CC69" s="37"/>
      <c r="CD69" s="71">
        <v>103183.03999999999</v>
      </c>
    </row>
    <row r="70" spans="1:82" s="77" customFormat="1" ht="18" hidden="1" customHeight="1" x14ac:dyDescent="0.25">
      <c r="A70" s="99" t="s">
        <v>58</v>
      </c>
      <c r="B70" s="100"/>
      <c r="C70" s="101"/>
      <c r="D70" s="43"/>
      <c r="E70" s="53"/>
      <c r="F70" s="68" t="s">
        <v>244</v>
      </c>
      <c r="G70" s="106">
        <v>0</v>
      </c>
      <c r="H70" s="106"/>
      <c r="I70" s="106">
        <v>0</v>
      </c>
      <c r="J70" s="70" t="s">
        <v>245</v>
      </c>
      <c r="K70" s="106">
        <v>0</v>
      </c>
      <c r="L70" s="106">
        <v>699.22</v>
      </c>
      <c r="M70" s="106"/>
      <c r="N70" s="106">
        <f>M70*2</f>
        <v>0</v>
      </c>
      <c r="O70" s="106">
        <v>0</v>
      </c>
      <c r="P70" s="106">
        <f t="shared" si="125"/>
        <v>0</v>
      </c>
      <c r="Q70" s="106"/>
      <c r="R70" s="106"/>
      <c r="S70" s="106"/>
      <c r="T70" s="106">
        <f t="shared" si="90"/>
        <v>0</v>
      </c>
      <c r="U70" s="107">
        <f t="shared" si="91"/>
        <v>0</v>
      </c>
      <c r="V70" s="106">
        <f t="shared" si="92"/>
        <v>0</v>
      </c>
      <c r="W70" s="108"/>
      <c r="X70" s="109"/>
      <c r="Y70" s="24">
        <f t="shared" si="93"/>
        <v>0</v>
      </c>
      <c r="Z70" s="85"/>
      <c r="AA70" s="110">
        <f t="shared" si="126"/>
        <v>0</v>
      </c>
      <c r="AB70" s="110">
        <f t="shared" si="127"/>
        <v>0</v>
      </c>
      <c r="AC70" s="72"/>
      <c r="AD70" s="72"/>
      <c r="AE70" s="72"/>
      <c r="AF70" s="72"/>
      <c r="AG70" s="72"/>
      <c r="AH70" s="85">
        <f t="shared" si="128"/>
        <v>0</v>
      </c>
      <c r="AI70" s="85"/>
      <c r="AJ70" s="85">
        <f t="shared" si="129"/>
        <v>0</v>
      </c>
      <c r="AK70" s="86"/>
      <c r="AL70" s="133"/>
      <c r="AM70" s="27">
        <f t="shared" si="116"/>
        <v>0</v>
      </c>
      <c r="AN70" s="61">
        <f t="shared" si="117"/>
        <v>0</v>
      </c>
      <c r="AO70" s="62">
        <f t="shared" si="118"/>
        <v>0</v>
      </c>
      <c r="AQ70" s="85"/>
      <c r="AR70" s="85"/>
      <c r="AS70" s="85"/>
      <c r="AT70" s="86"/>
      <c r="AU70" s="71">
        <f>FLOOR(BD70,100)</f>
        <v>0</v>
      </c>
      <c r="AV70" s="71">
        <f t="shared" si="130"/>
        <v>0</v>
      </c>
      <c r="AW70" s="71">
        <f t="shared" si="131"/>
        <v>0</v>
      </c>
      <c r="AX70" s="76">
        <f t="shared" si="132"/>
        <v>0</v>
      </c>
      <c r="AY70" s="76">
        <f t="shared" si="133"/>
        <v>0</v>
      </c>
      <c r="BE70" s="71">
        <v>0</v>
      </c>
      <c r="BF70" s="71"/>
      <c r="BG70" s="78">
        <f t="shared" si="134"/>
        <v>0</v>
      </c>
      <c r="BH70" s="71"/>
      <c r="BI70" s="33">
        <f t="shared" si="135"/>
        <v>0</v>
      </c>
      <c r="BJ70" s="33">
        <f t="shared" si="136"/>
        <v>0</v>
      </c>
      <c r="BK70" s="71"/>
      <c r="BL70" s="79">
        <f t="shared" si="137"/>
        <v>0</v>
      </c>
      <c r="BM70" s="79">
        <f t="shared" si="138"/>
        <v>0</v>
      </c>
      <c r="BN70" s="32"/>
      <c r="BO70" s="32"/>
      <c r="BP70" s="71"/>
      <c r="BQ70" s="32">
        <f t="shared" si="119"/>
        <v>0</v>
      </c>
      <c r="BR70" s="32">
        <f t="shared" si="120"/>
        <v>0</v>
      </c>
      <c r="BS70" s="32"/>
      <c r="BT70" s="32"/>
      <c r="BU70" s="33"/>
      <c r="BV70" s="34">
        <f t="shared" si="121"/>
        <v>0</v>
      </c>
      <c r="BY70" s="82"/>
      <c r="BZ70" s="82"/>
      <c r="CC70" s="37"/>
      <c r="CD70" s="71"/>
    </row>
    <row r="71" spans="1:82" s="77" customFormat="1" ht="18" customHeight="1" x14ac:dyDescent="0.25">
      <c r="A71" s="99" t="s">
        <v>58</v>
      </c>
      <c r="B71" s="100"/>
      <c r="C71" s="101"/>
      <c r="D71" s="43"/>
      <c r="E71" s="53"/>
      <c r="F71" s="68" t="s">
        <v>246</v>
      </c>
      <c r="G71" s="106">
        <v>8400</v>
      </c>
      <c r="H71" s="106">
        <v>8600</v>
      </c>
      <c r="I71" s="106">
        <v>8600</v>
      </c>
      <c r="J71" s="70"/>
      <c r="K71" s="106">
        <v>9163.48</v>
      </c>
      <c r="L71" s="106"/>
      <c r="M71" s="106">
        <f>I71/2</f>
        <v>4300</v>
      </c>
      <c r="N71" s="106">
        <f>I71</f>
        <v>8600</v>
      </c>
      <c r="O71" s="106">
        <f>I71</f>
        <v>8600</v>
      </c>
      <c r="P71" s="106">
        <f t="shared" si="125"/>
        <v>0</v>
      </c>
      <c r="Q71" s="106">
        <v>1136.27</v>
      </c>
      <c r="R71" s="106"/>
      <c r="S71" s="106">
        <f>Q71+8100+1000</f>
        <v>10236.27</v>
      </c>
      <c r="T71" s="106">
        <f t="shared" si="90"/>
        <v>1636.2700000000004</v>
      </c>
      <c r="U71" s="107">
        <f t="shared" si="91"/>
        <v>1072.7900000000009</v>
      </c>
      <c r="V71" s="106">
        <f t="shared" si="92"/>
        <v>1636.2700000000004</v>
      </c>
      <c r="W71" s="108" t="s">
        <v>247</v>
      </c>
      <c r="X71" s="109">
        <f>(1751.17/11*12)+8100+(600.71*2)</f>
        <v>11211.787272727273</v>
      </c>
      <c r="Y71" s="24">
        <f t="shared" si="93"/>
        <v>975.51727272727294</v>
      </c>
      <c r="Z71" s="85">
        <v>8600</v>
      </c>
      <c r="AA71" s="110">
        <f t="shared" si="126"/>
        <v>0</v>
      </c>
      <c r="AB71" s="110">
        <f t="shared" si="127"/>
        <v>-1636.2700000000004</v>
      </c>
      <c r="AC71" s="72"/>
      <c r="AD71" s="72"/>
      <c r="AE71" s="72"/>
      <c r="AF71" s="72"/>
      <c r="AG71" s="72"/>
      <c r="AH71" s="85">
        <f t="shared" si="128"/>
        <v>8600</v>
      </c>
      <c r="AI71" s="85">
        <f>((2469.32-600.71-819.67)/7*12)+8100+819.67</f>
        <v>10717.852857142858</v>
      </c>
      <c r="AJ71" s="85">
        <f t="shared" si="129"/>
        <v>0</v>
      </c>
      <c r="AK71" s="86">
        <v>11016.923333333334</v>
      </c>
      <c r="AL71" s="123">
        <f>((3483.07-600.71-819.67)/11*12)+8100+819.67</f>
        <v>11169.877272727274</v>
      </c>
      <c r="AM71" s="27">
        <f t="shared" si="116"/>
        <v>452.02441558441569</v>
      </c>
      <c r="AN71" s="61">
        <f t="shared" si="117"/>
        <v>2569.8772727272735</v>
      </c>
      <c r="AO71" s="62">
        <f t="shared" si="118"/>
        <v>2117.8528571428578</v>
      </c>
      <c r="AQ71" s="90" t="s">
        <v>248</v>
      </c>
      <c r="AR71" s="90" t="s">
        <v>249</v>
      </c>
      <c r="AS71" s="90" t="s">
        <v>248</v>
      </c>
      <c r="AT71" s="86">
        <f>AL71</f>
        <v>11169.877272727274</v>
      </c>
      <c r="AU71" s="71">
        <v>11245.71</v>
      </c>
      <c r="AV71" s="71">
        <f t="shared" si="130"/>
        <v>11100</v>
      </c>
      <c r="AW71" s="71">
        <f t="shared" si="131"/>
        <v>2500</v>
      </c>
      <c r="AX71" s="76">
        <f t="shared" si="132"/>
        <v>2569.8772727272735</v>
      </c>
      <c r="AY71" s="76">
        <f t="shared" si="133"/>
        <v>0</v>
      </c>
      <c r="AZ71" s="77" t="s">
        <v>250</v>
      </c>
      <c r="BE71" s="71">
        <v>11100</v>
      </c>
      <c r="BF71" s="71">
        <f>(1858.32/7*12)+819.67+8100</f>
        <v>12105.361428571428</v>
      </c>
      <c r="BG71" s="78">
        <f t="shared" si="134"/>
        <v>0</v>
      </c>
      <c r="BH71" s="71">
        <v>11618.983333333334</v>
      </c>
      <c r="BI71" s="33">
        <f t="shared" si="135"/>
        <v>1005.3614285714284</v>
      </c>
      <c r="BJ71" s="33">
        <f t="shared" si="136"/>
        <v>859.65142857142928</v>
      </c>
      <c r="BK71" s="71">
        <v>12568.65909090909</v>
      </c>
      <c r="BL71" s="79">
        <f t="shared" si="137"/>
        <v>949.67575757575651</v>
      </c>
      <c r="BM71" s="79">
        <f t="shared" si="138"/>
        <v>1468.6590909090901</v>
      </c>
      <c r="BN71" s="87" t="s">
        <v>251</v>
      </c>
      <c r="BO71" s="87" t="s">
        <v>252</v>
      </c>
      <c r="BP71" s="71">
        <v>12504.93</v>
      </c>
      <c r="BQ71" s="32">
        <f t="shared" si="119"/>
        <v>-63.729090909089791</v>
      </c>
      <c r="BR71" s="32">
        <f t="shared" si="120"/>
        <v>1404.9300000000003</v>
      </c>
      <c r="BS71" s="87" t="s">
        <v>252</v>
      </c>
      <c r="BT71" s="87" t="s">
        <v>253</v>
      </c>
      <c r="BU71" s="33"/>
      <c r="BV71" s="34">
        <f t="shared" si="121"/>
        <v>518.98333333333358</v>
      </c>
      <c r="BY71" s="82"/>
      <c r="BZ71" s="82"/>
      <c r="CC71" s="37"/>
      <c r="CD71" s="71">
        <v>11245.71</v>
      </c>
    </row>
    <row r="72" spans="1:82" s="77" customFormat="1" ht="18" customHeight="1" x14ac:dyDescent="0.25">
      <c r="A72" s="99" t="s">
        <v>58</v>
      </c>
      <c r="B72" s="100"/>
      <c r="C72" s="101"/>
      <c r="D72" s="43"/>
      <c r="E72" s="53"/>
      <c r="F72" s="68" t="s">
        <v>254</v>
      </c>
      <c r="G72" s="135">
        <v>7500</v>
      </c>
      <c r="H72" s="135">
        <v>10400</v>
      </c>
      <c r="I72" s="135">
        <v>10700</v>
      </c>
      <c r="J72" s="70" t="s">
        <v>255</v>
      </c>
      <c r="K72" s="135">
        <v>10772.55</v>
      </c>
      <c r="L72" s="135">
        <v>8264.33</v>
      </c>
      <c r="M72" s="135">
        <f>L72</f>
        <v>8264.33</v>
      </c>
      <c r="N72" s="106">
        <f>M72*2</f>
        <v>16528.66</v>
      </c>
      <c r="O72" s="135">
        <f>N72</f>
        <v>16528.66</v>
      </c>
      <c r="P72" s="135">
        <f t="shared" si="125"/>
        <v>5828.66</v>
      </c>
      <c r="Q72" s="135">
        <v>11555.3</v>
      </c>
      <c r="R72" s="135"/>
      <c r="S72" s="135">
        <f>Q72/9*12</f>
        <v>15407.066666666666</v>
      </c>
      <c r="T72" s="135">
        <f t="shared" si="90"/>
        <v>4707.0666666666657</v>
      </c>
      <c r="U72" s="136">
        <f t="shared" si="91"/>
        <v>4634.5166666666664</v>
      </c>
      <c r="V72" s="135">
        <f t="shared" si="92"/>
        <v>-1121.5933333333342</v>
      </c>
      <c r="W72" s="137"/>
      <c r="X72" s="138">
        <f>14316.41/11*12</f>
        <v>15617.901818181817</v>
      </c>
      <c r="Y72" s="24">
        <f t="shared" si="93"/>
        <v>210.83515151515167</v>
      </c>
      <c r="Z72" s="139">
        <v>15617</v>
      </c>
      <c r="AA72" s="110">
        <f t="shared" si="126"/>
        <v>4917</v>
      </c>
      <c r="AB72" s="110">
        <f t="shared" si="127"/>
        <v>209.9333333333343</v>
      </c>
      <c r="AC72" s="72"/>
      <c r="AD72" s="72"/>
      <c r="AE72" s="72"/>
      <c r="AF72" s="72"/>
      <c r="AG72" s="72"/>
      <c r="AH72" s="85">
        <f t="shared" si="128"/>
        <v>15617</v>
      </c>
      <c r="AI72" s="85">
        <f>6489.6/7*12</f>
        <v>11125.028571428571</v>
      </c>
      <c r="AJ72" s="85">
        <f t="shared" si="129"/>
        <v>0</v>
      </c>
      <c r="AK72" s="86">
        <v>11168.279999999999</v>
      </c>
      <c r="AL72" s="123">
        <f>9743.14/11*12</f>
        <v>10628.88</v>
      </c>
      <c r="AM72" s="27">
        <f t="shared" si="116"/>
        <v>-496.14857142857181</v>
      </c>
      <c r="AN72" s="61">
        <f t="shared" si="117"/>
        <v>-4988.1200000000008</v>
      </c>
      <c r="AO72" s="62">
        <f t="shared" si="118"/>
        <v>-4491.971428571429</v>
      </c>
      <c r="AQ72" s="71" t="s">
        <v>106</v>
      </c>
      <c r="AR72" s="71" t="s">
        <v>256</v>
      </c>
      <c r="AS72" s="71" t="s">
        <v>106</v>
      </c>
      <c r="AT72" s="86">
        <f>AL72</f>
        <v>10628.88</v>
      </c>
      <c r="AU72" s="71">
        <v>10481.290000000001</v>
      </c>
      <c r="AV72" s="71">
        <f t="shared" si="130"/>
        <v>10600</v>
      </c>
      <c r="AW72" s="71">
        <f t="shared" si="131"/>
        <v>-5017</v>
      </c>
      <c r="AX72" s="76">
        <f t="shared" si="132"/>
        <v>-4988.1200000000008</v>
      </c>
      <c r="AY72" s="76">
        <f t="shared" si="133"/>
        <v>0</v>
      </c>
      <c r="AZ72" s="77" t="s">
        <v>250</v>
      </c>
      <c r="BE72" s="71">
        <v>10600</v>
      </c>
      <c r="BF72" s="71">
        <f>5111.37/7*12</f>
        <v>8762.3485714285707</v>
      </c>
      <c r="BG72" s="78">
        <f t="shared" si="134"/>
        <v>0</v>
      </c>
      <c r="BH72" s="71">
        <v>8737.9333333333325</v>
      </c>
      <c r="BI72" s="33">
        <f t="shared" si="135"/>
        <v>-1837.6514285714293</v>
      </c>
      <c r="BJ72" s="33">
        <f t="shared" si="136"/>
        <v>-1718.9414285714302</v>
      </c>
      <c r="BK72" s="71">
        <f>7836.76/11*12</f>
        <v>8549.192727272728</v>
      </c>
      <c r="BL72" s="79">
        <f t="shared" si="137"/>
        <v>-188.74060606060448</v>
      </c>
      <c r="BM72" s="79">
        <f t="shared" si="138"/>
        <v>-2050.807272727272</v>
      </c>
      <c r="BN72" s="87" t="s">
        <v>108</v>
      </c>
      <c r="BO72" s="91" t="s">
        <v>109</v>
      </c>
      <c r="BP72" s="71">
        <v>8569.57</v>
      </c>
      <c r="BQ72" s="32">
        <f t="shared" si="119"/>
        <v>20.377272727271702</v>
      </c>
      <c r="BR72" s="32">
        <f t="shared" si="120"/>
        <v>-2030.4300000000003</v>
      </c>
      <c r="BS72" s="92"/>
      <c r="BT72" s="87" t="s">
        <v>110</v>
      </c>
      <c r="BU72" s="33"/>
      <c r="BV72" s="34">
        <f t="shared" si="121"/>
        <v>-1862.0666666666675</v>
      </c>
      <c r="BY72" s="82"/>
      <c r="BZ72" s="82"/>
      <c r="CC72" s="37"/>
      <c r="CD72" s="71">
        <v>10481.290000000001</v>
      </c>
    </row>
    <row r="73" spans="1:82" s="77" customFormat="1" ht="18" customHeight="1" x14ac:dyDescent="0.25">
      <c r="A73" s="99" t="s">
        <v>58</v>
      </c>
      <c r="B73" s="100"/>
      <c r="C73" s="101"/>
      <c r="D73" s="43"/>
      <c r="E73" s="53"/>
      <c r="F73" s="68" t="s">
        <v>257</v>
      </c>
      <c r="G73" s="106">
        <v>500</v>
      </c>
      <c r="H73" s="106">
        <v>400</v>
      </c>
      <c r="I73" s="106">
        <v>400</v>
      </c>
      <c r="J73" s="70"/>
      <c r="K73" s="106">
        <v>359.64</v>
      </c>
      <c r="L73" s="106"/>
      <c r="M73" s="106">
        <f>I73/2</f>
        <v>200</v>
      </c>
      <c r="N73" s="106">
        <f>I73</f>
        <v>400</v>
      </c>
      <c r="O73" s="106">
        <f>I73</f>
        <v>400</v>
      </c>
      <c r="P73" s="106">
        <f t="shared" si="125"/>
        <v>0</v>
      </c>
      <c r="Q73" s="106"/>
      <c r="R73" s="106"/>
      <c r="S73" s="106">
        <v>400</v>
      </c>
      <c r="T73" s="106">
        <f t="shared" si="90"/>
        <v>0</v>
      </c>
      <c r="U73" s="107">
        <f t="shared" si="91"/>
        <v>40.360000000000014</v>
      </c>
      <c r="V73" s="106">
        <f t="shared" si="92"/>
        <v>0</v>
      </c>
      <c r="W73" s="108"/>
      <c r="X73" s="109">
        <f>21.51+21.51+41.53+28.18+34.86+41.53+21.51+28.18+21.51+41.53+48.2+48.2</f>
        <v>398.25</v>
      </c>
      <c r="Y73" s="24">
        <f t="shared" si="93"/>
        <v>-1.75</v>
      </c>
      <c r="Z73" s="85">
        <v>400</v>
      </c>
      <c r="AA73" s="110">
        <f t="shared" si="126"/>
        <v>0</v>
      </c>
      <c r="AB73" s="110">
        <f t="shared" si="127"/>
        <v>0</v>
      </c>
      <c r="AC73" s="72"/>
      <c r="AD73" s="72"/>
      <c r="AE73" s="72"/>
      <c r="AF73" s="72"/>
      <c r="AG73" s="72"/>
      <c r="AH73" s="85">
        <f t="shared" si="128"/>
        <v>400</v>
      </c>
      <c r="AI73" s="85">
        <f>292.95*2</f>
        <v>585.9</v>
      </c>
      <c r="AJ73" s="85">
        <f t="shared" si="129"/>
        <v>0</v>
      </c>
      <c r="AK73" s="86">
        <v>585.9</v>
      </c>
      <c r="AL73" s="123">
        <f>292.95+62.76+49.69+62.76+69.29+62.76+62.76</f>
        <v>662.96999999999991</v>
      </c>
      <c r="AM73" s="27">
        <f t="shared" si="116"/>
        <v>77.069999999999936</v>
      </c>
      <c r="AN73" s="61">
        <f t="shared" si="117"/>
        <v>262.96999999999991</v>
      </c>
      <c r="AO73" s="62">
        <f t="shared" si="118"/>
        <v>185.89999999999998</v>
      </c>
      <c r="AQ73" s="85"/>
      <c r="AR73" s="85"/>
      <c r="AS73" s="85"/>
      <c r="AT73" s="86">
        <f>AL73</f>
        <v>662.96999999999991</v>
      </c>
      <c r="AU73" s="71">
        <v>636.83000000000004</v>
      </c>
      <c r="AV73" s="71">
        <f t="shared" si="130"/>
        <v>600</v>
      </c>
      <c r="AW73" s="71">
        <f t="shared" si="131"/>
        <v>200</v>
      </c>
      <c r="AX73" s="76">
        <f t="shared" si="132"/>
        <v>262.96999999999991</v>
      </c>
      <c r="AY73" s="76">
        <f t="shared" si="133"/>
        <v>0</v>
      </c>
      <c r="AZ73" s="77" t="s">
        <v>250</v>
      </c>
      <c r="BE73" s="71">
        <v>600</v>
      </c>
      <c r="BF73" s="71">
        <f>334.44*2</f>
        <v>668.88</v>
      </c>
      <c r="BG73" s="78">
        <f t="shared" si="134"/>
        <v>0</v>
      </c>
      <c r="BH73" s="71">
        <f>BF73</f>
        <v>668.88</v>
      </c>
      <c r="BI73" s="33">
        <f t="shared" si="135"/>
        <v>68.88</v>
      </c>
      <c r="BJ73" s="33">
        <f t="shared" si="136"/>
        <v>32.049999999999955</v>
      </c>
      <c r="BK73" s="71">
        <v>662.02909090909088</v>
      </c>
      <c r="BL73" s="79">
        <f t="shared" si="137"/>
        <v>-6.8509090909091128</v>
      </c>
      <c r="BM73" s="79">
        <f t="shared" si="138"/>
        <v>62.029090909090883</v>
      </c>
      <c r="BN73" s="87" t="s">
        <v>258</v>
      </c>
      <c r="BO73" s="91"/>
      <c r="BP73" s="71">
        <v>667.71</v>
      </c>
      <c r="BQ73" s="32">
        <f t="shared" si="119"/>
        <v>5.6809090909091537</v>
      </c>
      <c r="BR73" s="32">
        <f t="shared" si="120"/>
        <v>67.710000000000036</v>
      </c>
      <c r="BS73" s="92"/>
      <c r="BT73" s="87" t="s">
        <v>258</v>
      </c>
      <c r="BU73" s="33"/>
      <c r="BV73" s="34">
        <f t="shared" si="121"/>
        <v>68.88</v>
      </c>
      <c r="BY73" s="82"/>
      <c r="BZ73" s="82"/>
      <c r="CC73" s="37"/>
      <c r="CD73" s="71">
        <v>636.83000000000004</v>
      </c>
    </row>
    <row r="74" spans="1:82" s="77" customFormat="1" ht="18" hidden="1" customHeight="1" x14ac:dyDescent="0.25">
      <c r="A74" s="99" t="s">
        <v>58</v>
      </c>
      <c r="B74" s="100"/>
      <c r="C74" s="101"/>
      <c r="D74" s="43"/>
      <c r="E74" s="53"/>
      <c r="F74" s="68" t="s">
        <v>259</v>
      </c>
      <c r="G74" s="106">
        <v>500</v>
      </c>
      <c r="H74" s="106">
        <v>0</v>
      </c>
      <c r="I74" s="106">
        <v>0</v>
      </c>
      <c r="J74" s="70"/>
      <c r="K74" s="106">
        <v>0</v>
      </c>
      <c r="L74" s="106"/>
      <c r="M74" s="106"/>
      <c r="N74" s="106">
        <f>M74*2</f>
        <v>0</v>
      </c>
      <c r="O74" s="106">
        <v>0</v>
      </c>
      <c r="P74" s="106">
        <f t="shared" si="125"/>
        <v>0</v>
      </c>
      <c r="Q74" s="106"/>
      <c r="R74" s="106"/>
      <c r="S74" s="106"/>
      <c r="T74" s="106">
        <f t="shared" si="90"/>
        <v>0</v>
      </c>
      <c r="U74" s="107">
        <f t="shared" si="91"/>
        <v>0</v>
      </c>
      <c r="V74" s="106">
        <f t="shared" si="92"/>
        <v>0</v>
      </c>
      <c r="W74" s="108"/>
      <c r="X74" s="109"/>
      <c r="Y74" s="24">
        <f t="shared" si="93"/>
        <v>0</v>
      </c>
      <c r="Z74" s="85">
        <v>0</v>
      </c>
      <c r="AA74" s="110">
        <f t="shared" si="126"/>
        <v>0</v>
      </c>
      <c r="AB74" s="110">
        <f t="shared" si="127"/>
        <v>0</v>
      </c>
      <c r="AC74" s="72"/>
      <c r="AD74" s="72"/>
      <c r="AE74" s="72"/>
      <c r="AF74" s="72"/>
      <c r="AG74" s="72"/>
      <c r="AH74" s="85">
        <f t="shared" si="128"/>
        <v>0</v>
      </c>
      <c r="AI74" s="85">
        <v>0</v>
      </c>
      <c r="AJ74" s="85">
        <f t="shared" si="129"/>
        <v>0</v>
      </c>
      <c r="AK74" s="86"/>
      <c r="AL74" s="133"/>
      <c r="AM74" s="27">
        <f t="shared" si="116"/>
        <v>0</v>
      </c>
      <c r="AN74" s="61">
        <f t="shared" si="117"/>
        <v>0</v>
      </c>
      <c r="AO74" s="62">
        <f t="shared" si="118"/>
        <v>0</v>
      </c>
      <c r="AQ74" s="85"/>
      <c r="AR74" s="85"/>
      <c r="AS74" s="85"/>
      <c r="AT74" s="86"/>
      <c r="AU74" s="71">
        <f>FLOOR(BD74,100)</f>
        <v>0</v>
      </c>
      <c r="AV74" s="71">
        <f t="shared" si="130"/>
        <v>0</v>
      </c>
      <c r="AW74" s="71">
        <f t="shared" si="131"/>
        <v>0</v>
      </c>
      <c r="AX74" s="76">
        <f t="shared" si="132"/>
        <v>0</v>
      </c>
      <c r="AY74" s="76">
        <f t="shared" si="133"/>
        <v>0</v>
      </c>
      <c r="BE74" s="71">
        <v>0</v>
      </c>
      <c r="BF74" s="71"/>
      <c r="BG74" s="78">
        <f t="shared" si="134"/>
        <v>0</v>
      </c>
      <c r="BH74" s="71"/>
      <c r="BI74" s="33">
        <f t="shared" si="135"/>
        <v>0</v>
      </c>
      <c r="BJ74" s="33">
        <f t="shared" si="136"/>
        <v>0</v>
      </c>
      <c r="BK74" s="71"/>
      <c r="BL74" s="79">
        <f t="shared" si="137"/>
        <v>0</v>
      </c>
      <c r="BM74" s="79">
        <f t="shared" si="138"/>
        <v>0</v>
      </c>
      <c r="BN74" s="32"/>
      <c r="BO74" s="32"/>
      <c r="BP74" s="71"/>
      <c r="BQ74" s="32">
        <f t="shared" si="119"/>
        <v>0</v>
      </c>
      <c r="BR74" s="32">
        <f t="shared" si="120"/>
        <v>0</v>
      </c>
      <c r="BS74" s="32"/>
      <c r="BT74" s="32"/>
      <c r="BU74" s="33"/>
      <c r="BV74" s="34">
        <f t="shared" si="121"/>
        <v>0</v>
      </c>
      <c r="BY74" s="82"/>
      <c r="BZ74" s="82"/>
      <c r="CC74" s="37"/>
      <c r="CD74" s="71"/>
    </row>
    <row r="75" spans="1:82" s="77" customFormat="1" ht="18" hidden="1" customHeight="1" x14ac:dyDescent="0.25">
      <c r="A75" s="99" t="s">
        <v>58</v>
      </c>
      <c r="B75" s="100"/>
      <c r="C75" s="101"/>
      <c r="D75" s="43"/>
      <c r="E75" s="53"/>
      <c r="F75" s="68" t="s">
        <v>260</v>
      </c>
      <c r="G75" s="140">
        <v>0</v>
      </c>
      <c r="H75" s="140">
        <v>0</v>
      </c>
      <c r="I75" s="140">
        <v>0</v>
      </c>
      <c r="J75" s="70"/>
      <c r="K75" s="140">
        <v>0</v>
      </c>
      <c r="L75" s="140"/>
      <c r="M75" s="140"/>
      <c r="N75" s="106">
        <f>M75*2</f>
        <v>0</v>
      </c>
      <c r="O75" s="140">
        <v>0</v>
      </c>
      <c r="P75" s="140">
        <f t="shared" si="125"/>
        <v>0</v>
      </c>
      <c r="Q75" s="140"/>
      <c r="R75" s="140"/>
      <c r="S75" s="140"/>
      <c r="T75" s="140">
        <f t="shared" si="90"/>
        <v>0</v>
      </c>
      <c r="U75" s="141">
        <f t="shared" si="91"/>
        <v>0</v>
      </c>
      <c r="V75" s="140">
        <f t="shared" si="92"/>
        <v>0</v>
      </c>
      <c r="W75" s="140"/>
      <c r="X75" s="142"/>
      <c r="Y75" s="24">
        <f t="shared" si="93"/>
        <v>0</v>
      </c>
      <c r="Z75" s="139"/>
      <c r="AA75" s="110">
        <f t="shared" si="126"/>
        <v>0</v>
      </c>
      <c r="AB75" s="110">
        <f t="shared" si="127"/>
        <v>0</v>
      </c>
      <c r="AC75" s="72"/>
      <c r="AD75" s="72"/>
      <c r="AE75" s="72"/>
      <c r="AF75" s="72"/>
      <c r="AG75" s="72"/>
      <c r="AH75" s="85">
        <f t="shared" si="128"/>
        <v>0</v>
      </c>
      <c r="AI75" s="85"/>
      <c r="AJ75" s="85">
        <f t="shared" si="129"/>
        <v>0</v>
      </c>
      <c r="AK75" s="86"/>
      <c r="AL75" s="133"/>
      <c r="AM75" s="27">
        <f t="shared" si="116"/>
        <v>0</v>
      </c>
      <c r="AN75" s="61">
        <f t="shared" si="117"/>
        <v>0</v>
      </c>
      <c r="AO75" s="62">
        <f t="shared" si="118"/>
        <v>0</v>
      </c>
      <c r="AQ75" s="139"/>
      <c r="AR75" s="139"/>
      <c r="AS75" s="139"/>
      <c r="AT75" s="86"/>
      <c r="AU75" s="71">
        <f>FLOOR(BD75,100)</f>
        <v>0</v>
      </c>
      <c r="AV75" s="71">
        <f t="shared" si="130"/>
        <v>0</v>
      </c>
      <c r="AW75" s="71">
        <f t="shared" si="131"/>
        <v>0</v>
      </c>
      <c r="AX75" s="76">
        <f t="shared" si="132"/>
        <v>0</v>
      </c>
      <c r="AY75" s="76">
        <f t="shared" si="133"/>
        <v>0</v>
      </c>
      <c r="BE75" s="71">
        <v>0</v>
      </c>
      <c r="BF75" s="71"/>
      <c r="BG75" s="78">
        <f t="shared" si="134"/>
        <v>0</v>
      </c>
      <c r="BH75" s="71"/>
      <c r="BI75" s="33">
        <f t="shared" si="135"/>
        <v>0</v>
      </c>
      <c r="BJ75" s="33">
        <f t="shared" si="136"/>
        <v>0</v>
      </c>
      <c r="BK75" s="71"/>
      <c r="BL75" s="79">
        <f t="shared" si="137"/>
        <v>0</v>
      </c>
      <c r="BM75" s="79">
        <f t="shared" si="138"/>
        <v>0</v>
      </c>
      <c r="BN75" s="32"/>
      <c r="BO75" s="32"/>
      <c r="BP75" s="71"/>
      <c r="BQ75" s="32">
        <f t="shared" si="119"/>
        <v>0</v>
      </c>
      <c r="BR75" s="32">
        <f t="shared" si="120"/>
        <v>0</v>
      </c>
      <c r="BS75" s="32"/>
      <c r="BT75" s="32"/>
      <c r="BU75" s="33"/>
      <c r="BV75" s="34">
        <f t="shared" si="121"/>
        <v>0</v>
      </c>
      <c r="BY75" s="82"/>
      <c r="BZ75" s="82"/>
      <c r="CC75" s="37"/>
      <c r="CD75" s="71"/>
    </row>
    <row r="76" spans="1:82" s="77" customFormat="1" ht="18" customHeight="1" x14ac:dyDescent="0.25">
      <c r="A76" s="99"/>
      <c r="B76" s="100"/>
      <c r="C76" s="101"/>
      <c r="D76" s="43"/>
      <c r="E76" s="53"/>
      <c r="F76" s="68" t="s">
        <v>261</v>
      </c>
      <c r="G76" s="140">
        <v>500</v>
      </c>
      <c r="H76" s="140">
        <v>1200</v>
      </c>
      <c r="I76" s="140">
        <v>1000</v>
      </c>
      <c r="J76" s="70" t="s">
        <v>262</v>
      </c>
      <c r="K76" s="140">
        <v>5825.62</v>
      </c>
      <c r="L76" s="140">
        <v>23803.21</v>
      </c>
      <c r="M76" s="140">
        <f>L76</f>
        <v>23803.21</v>
      </c>
      <c r="N76" s="140">
        <f>M76</f>
        <v>23803.21</v>
      </c>
      <c r="O76" s="140">
        <f>N76</f>
        <v>23803.21</v>
      </c>
      <c r="P76" s="140">
        <f t="shared" si="125"/>
        <v>22803.21</v>
      </c>
      <c r="Q76" s="140">
        <v>23803.21</v>
      </c>
      <c r="R76" s="140"/>
      <c r="S76" s="140">
        <f>Q76+2480.5+(891*2)</f>
        <v>28065.71</v>
      </c>
      <c r="T76" s="140">
        <f t="shared" si="90"/>
        <v>27065.71</v>
      </c>
      <c r="U76" s="141">
        <f t="shared" si="91"/>
        <v>22240.09</v>
      </c>
      <c r="V76" s="140">
        <f t="shared" si="92"/>
        <v>4262.5</v>
      </c>
      <c r="W76" s="140" t="s">
        <v>263</v>
      </c>
      <c r="X76" s="142">
        <f>23803.21+4260.62</f>
        <v>28063.829999999998</v>
      </c>
      <c r="Y76" s="24">
        <f t="shared" si="93"/>
        <v>-1.8800000000010186</v>
      </c>
      <c r="Z76" s="139">
        <v>0</v>
      </c>
      <c r="AA76" s="110">
        <f t="shared" si="126"/>
        <v>-1000</v>
      </c>
      <c r="AB76" s="110">
        <f t="shared" si="127"/>
        <v>-28065.71</v>
      </c>
      <c r="AC76" s="72"/>
      <c r="AD76" s="72"/>
      <c r="AE76" s="72"/>
      <c r="AF76" s="72"/>
      <c r="AG76" s="72"/>
      <c r="AH76" s="85">
        <f t="shared" si="128"/>
        <v>0</v>
      </c>
      <c r="AI76" s="85">
        <v>29162.92</v>
      </c>
      <c r="AJ76" s="85">
        <f t="shared" si="129"/>
        <v>0</v>
      </c>
      <c r="AK76" s="86">
        <v>29162.92</v>
      </c>
      <c r="AL76" s="123">
        <v>29162.92</v>
      </c>
      <c r="AM76" s="27">
        <f t="shared" si="116"/>
        <v>0</v>
      </c>
      <c r="AN76" s="61">
        <f t="shared" si="117"/>
        <v>29162.92</v>
      </c>
      <c r="AO76" s="62">
        <f t="shared" si="118"/>
        <v>29162.92</v>
      </c>
      <c r="AQ76" s="139" t="s">
        <v>264</v>
      </c>
      <c r="AR76" s="139" t="s">
        <v>264</v>
      </c>
      <c r="AS76" s="139" t="s">
        <v>264</v>
      </c>
      <c r="AT76" s="86">
        <f>Z76</f>
        <v>0</v>
      </c>
      <c r="AU76" s="71">
        <v>29162.92</v>
      </c>
      <c r="AV76" s="71">
        <f t="shared" si="130"/>
        <v>0</v>
      </c>
      <c r="AW76" s="71">
        <f t="shared" si="131"/>
        <v>0</v>
      </c>
      <c r="AX76" s="76">
        <f t="shared" si="132"/>
        <v>0</v>
      </c>
      <c r="AY76" s="76">
        <f t="shared" si="133"/>
        <v>-29162.92</v>
      </c>
      <c r="BE76" s="71">
        <v>0</v>
      </c>
      <c r="BF76" s="71">
        <v>1360</v>
      </c>
      <c r="BG76" s="78">
        <f t="shared" si="134"/>
        <v>0</v>
      </c>
      <c r="BH76" s="71">
        <f>BF76</f>
        <v>1360</v>
      </c>
      <c r="BI76" s="33">
        <f t="shared" si="135"/>
        <v>1360</v>
      </c>
      <c r="BJ76" s="33">
        <f t="shared" si="136"/>
        <v>-27802.92</v>
      </c>
      <c r="BK76" s="71">
        <v>3953</v>
      </c>
      <c r="BL76" s="79">
        <f t="shared" si="137"/>
        <v>2593</v>
      </c>
      <c r="BM76" s="79">
        <f t="shared" si="138"/>
        <v>3953</v>
      </c>
      <c r="BN76" s="87" t="s">
        <v>265</v>
      </c>
      <c r="BO76" s="87" t="s">
        <v>266</v>
      </c>
      <c r="BP76" s="71">
        <v>4133</v>
      </c>
      <c r="BQ76" s="32">
        <f t="shared" si="119"/>
        <v>180</v>
      </c>
      <c r="BR76" s="32">
        <f t="shared" si="120"/>
        <v>4133</v>
      </c>
      <c r="BS76" s="87" t="s">
        <v>266</v>
      </c>
      <c r="BT76" s="87" t="s">
        <v>265</v>
      </c>
      <c r="BU76" s="33"/>
      <c r="BV76" s="34">
        <f t="shared" si="121"/>
        <v>1360</v>
      </c>
      <c r="BY76" s="82"/>
      <c r="BZ76" s="82"/>
      <c r="CC76" s="37"/>
      <c r="CD76" s="71">
        <v>29162.92</v>
      </c>
    </row>
    <row r="77" spans="1:82" s="77" customFormat="1" ht="18" customHeight="1" x14ac:dyDescent="0.25">
      <c r="A77" s="99"/>
      <c r="B77" s="100"/>
      <c r="C77" s="101"/>
      <c r="D77" s="43"/>
      <c r="E77" s="53"/>
      <c r="F77" s="68" t="s">
        <v>267</v>
      </c>
      <c r="G77" s="140">
        <v>4700</v>
      </c>
      <c r="H77" s="140">
        <v>4200</v>
      </c>
      <c r="I77" s="140">
        <v>4300</v>
      </c>
      <c r="J77" s="70" t="s">
        <v>268</v>
      </c>
      <c r="K77" s="140">
        <v>4492</v>
      </c>
      <c r="L77" s="140">
        <v>2712</v>
      </c>
      <c r="M77" s="140">
        <f>L77</f>
        <v>2712</v>
      </c>
      <c r="N77" s="140">
        <f>M77*2</f>
        <v>5424</v>
      </c>
      <c r="O77" s="140">
        <f>N77</f>
        <v>5424</v>
      </c>
      <c r="P77" s="140">
        <f t="shared" si="125"/>
        <v>1124</v>
      </c>
      <c r="Q77" s="140">
        <v>4164</v>
      </c>
      <c r="R77" s="140"/>
      <c r="S77" s="140">
        <f>Q77/9*12</f>
        <v>5552</v>
      </c>
      <c r="T77" s="140">
        <f t="shared" si="90"/>
        <v>1252</v>
      </c>
      <c r="U77" s="141">
        <f t="shared" si="91"/>
        <v>1060</v>
      </c>
      <c r="V77" s="140">
        <f t="shared" si="92"/>
        <v>128</v>
      </c>
      <c r="W77" s="140"/>
      <c r="X77" s="142">
        <f>5202/11*12</f>
        <v>5674.909090909091</v>
      </c>
      <c r="Y77" s="24">
        <f t="shared" si="93"/>
        <v>122.90909090909099</v>
      </c>
      <c r="Z77" s="139">
        <v>5674</v>
      </c>
      <c r="AA77" s="110">
        <f t="shared" si="126"/>
        <v>1374</v>
      </c>
      <c r="AB77" s="110">
        <f t="shared" si="127"/>
        <v>122</v>
      </c>
      <c r="AC77" s="72"/>
      <c r="AD77" s="72"/>
      <c r="AE77" s="72"/>
      <c r="AF77" s="72"/>
      <c r="AG77" s="72"/>
      <c r="AH77" s="85">
        <f t="shared" si="128"/>
        <v>5674</v>
      </c>
      <c r="AI77" s="85">
        <f>3522/7*12</f>
        <v>6037.7142857142862</v>
      </c>
      <c r="AJ77" s="85">
        <f t="shared" si="129"/>
        <v>0</v>
      </c>
      <c r="AK77" s="86">
        <v>6064</v>
      </c>
      <c r="AL77" s="123">
        <f>5594/11*12</f>
        <v>6102.545454545455</v>
      </c>
      <c r="AM77" s="27">
        <f t="shared" si="116"/>
        <v>64.831168831168725</v>
      </c>
      <c r="AN77" s="61">
        <f t="shared" si="117"/>
        <v>428.54545454545496</v>
      </c>
      <c r="AO77" s="62">
        <f t="shared" si="118"/>
        <v>363.71428571428623</v>
      </c>
      <c r="AQ77" s="71" t="s">
        <v>106</v>
      </c>
      <c r="AR77" s="71" t="s">
        <v>107</v>
      </c>
      <c r="AS77" s="71" t="s">
        <v>106</v>
      </c>
      <c r="AT77" s="86">
        <f>AL77</f>
        <v>6102.545454545455</v>
      </c>
      <c r="AU77" s="71">
        <v>6082</v>
      </c>
      <c r="AV77" s="71">
        <f t="shared" si="130"/>
        <v>6100</v>
      </c>
      <c r="AW77" s="71">
        <f t="shared" si="131"/>
        <v>426</v>
      </c>
      <c r="AX77" s="76">
        <f t="shared" si="132"/>
        <v>428.54545454545496</v>
      </c>
      <c r="AY77" s="76">
        <f t="shared" si="133"/>
        <v>0</v>
      </c>
      <c r="AZ77" s="77" t="s">
        <v>250</v>
      </c>
      <c r="BE77" s="71">
        <v>6100</v>
      </c>
      <c r="BF77" s="71">
        <f>3582/7*12</f>
        <v>6140.5714285714284</v>
      </c>
      <c r="BG77" s="78">
        <f t="shared" si="134"/>
        <v>0</v>
      </c>
      <c r="BH77" s="71">
        <v>6154.666666666667</v>
      </c>
      <c r="BI77" s="33">
        <f t="shared" si="135"/>
        <v>40.571428571428442</v>
      </c>
      <c r="BJ77" s="33">
        <f t="shared" si="136"/>
        <v>58.571428571428442</v>
      </c>
      <c r="BK77" s="71">
        <v>6192</v>
      </c>
      <c r="BL77" s="79">
        <f t="shared" si="137"/>
        <v>37.33333333333303</v>
      </c>
      <c r="BM77" s="79">
        <f t="shared" si="138"/>
        <v>92</v>
      </c>
      <c r="BN77" s="87" t="s">
        <v>108</v>
      </c>
      <c r="BO77" s="91" t="s">
        <v>109</v>
      </c>
      <c r="BP77" s="71">
        <v>6192</v>
      </c>
      <c r="BQ77" s="32">
        <f t="shared" si="119"/>
        <v>0</v>
      </c>
      <c r="BR77" s="32">
        <f t="shared" si="120"/>
        <v>92</v>
      </c>
      <c r="BS77" s="92"/>
      <c r="BT77" s="87" t="s">
        <v>110</v>
      </c>
      <c r="BU77" s="33"/>
      <c r="BV77" s="34">
        <f t="shared" si="121"/>
        <v>54.66666666666697</v>
      </c>
      <c r="BY77" s="82"/>
      <c r="BZ77" s="82"/>
      <c r="CC77" s="37"/>
      <c r="CD77" s="71">
        <v>6082</v>
      </c>
    </row>
    <row r="78" spans="1:82" s="77" customFormat="1" ht="18" customHeight="1" x14ac:dyDescent="0.25">
      <c r="A78" s="99"/>
      <c r="B78" s="100"/>
      <c r="C78" s="101"/>
      <c r="D78" s="43"/>
      <c r="E78" s="53"/>
      <c r="F78" s="68" t="s">
        <v>269</v>
      </c>
      <c r="G78" s="140">
        <v>4700</v>
      </c>
      <c r="H78" s="140">
        <v>4200</v>
      </c>
      <c r="I78" s="140">
        <v>4300</v>
      </c>
      <c r="J78" s="70" t="s">
        <v>268</v>
      </c>
      <c r="K78" s="140">
        <v>4492</v>
      </c>
      <c r="L78" s="140">
        <v>2712</v>
      </c>
      <c r="M78" s="140">
        <f>L78</f>
        <v>2712</v>
      </c>
      <c r="N78" s="140">
        <f>M78*2</f>
        <v>5424</v>
      </c>
      <c r="O78" s="140">
        <f>N78</f>
        <v>5424</v>
      </c>
      <c r="P78" s="140">
        <f t="shared" si="125"/>
        <v>1124</v>
      </c>
      <c r="Q78" s="140">
        <v>4164</v>
      </c>
      <c r="R78" s="140"/>
      <c r="S78" s="140">
        <f>Q78/9*12</f>
        <v>5552</v>
      </c>
      <c r="T78" s="140">
        <f t="shared" si="90"/>
        <v>1252</v>
      </c>
      <c r="U78" s="141">
        <f t="shared" si="91"/>
        <v>1060</v>
      </c>
      <c r="V78" s="140">
        <f t="shared" si="92"/>
        <v>128</v>
      </c>
      <c r="W78" s="140"/>
      <c r="X78" s="142">
        <f>5202/11*12</f>
        <v>5674.909090909091</v>
      </c>
      <c r="Y78" s="24">
        <f t="shared" si="93"/>
        <v>122.90909090909099</v>
      </c>
      <c r="Z78" s="139">
        <v>0</v>
      </c>
      <c r="AA78" s="110">
        <f t="shared" si="126"/>
        <v>-4300</v>
      </c>
      <c r="AB78" s="110">
        <f t="shared" si="127"/>
        <v>-5552</v>
      </c>
      <c r="AC78" s="72"/>
      <c r="AD78" s="72"/>
      <c r="AE78" s="72"/>
      <c r="AF78" s="72"/>
      <c r="AG78" s="72"/>
      <c r="AH78" s="85">
        <f t="shared" si="128"/>
        <v>0</v>
      </c>
      <c r="AI78" s="85">
        <f>4263.9+2500+(24+374.56)*2</f>
        <v>7561.0199999999995</v>
      </c>
      <c r="AJ78" s="85">
        <f t="shared" si="129"/>
        <v>0</v>
      </c>
      <c r="AK78" s="86">
        <v>7561.0199999999995</v>
      </c>
      <c r="AL78" s="123">
        <f>AL213</f>
        <v>7571.86</v>
      </c>
      <c r="AM78" s="27">
        <f t="shared" si="116"/>
        <v>10.840000000000146</v>
      </c>
      <c r="AN78" s="61">
        <f t="shared" si="117"/>
        <v>7571.86</v>
      </c>
      <c r="AO78" s="62">
        <f t="shared" si="118"/>
        <v>7561.0199999999995</v>
      </c>
      <c r="AQ78" s="71" t="s">
        <v>270</v>
      </c>
      <c r="AR78" s="71" t="s">
        <v>270</v>
      </c>
      <c r="AS78" s="71" t="s">
        <v>270</v>
      </c>
      <c r="AT78" s="86">
        <f>AL78</f>
        <v>7571.86</v>
      </c>
      <c r="AU78" s="71">
        <v>13320.51</v>
      </c>
      <c r="AV78" s="71">
        <f t="shared" si="130"/>
        <v>7500</v>
      </c>
      <c r="AW78" s="71">
        <f t="shared" si="131"/>
        <v>7500</v>
      </c>
      <c r="AX78" s="76">
        <f t="shared" si="132"/>
        <v>7571.86</v>
      </c>
      <c r="AY78" s="76">
        <f t="shared" si="133"/>
        <v>0</v>
      </c>
      <c r="AZ78" s="77" t="s">
        <v>250</v>
      </c>
      <c r="BE78" s="71">
        <v>7500</v>
      </c>
      <c r="BF78" s="71">
        <f>AV78</f>
        <v>7500</v>
      </c>
      <c r="BG78" s="78">
        <f t="shared" si="134"/>
        <v>0</v>
      </c>
      <c r="BH78" s="71">
        <f>BF78</f>
        <v>7500</v>
      </c>
      <c r="BI78" s="33">
        <f t="shared" si="135"/>
        <v>0</v>
      </c>
      <c r="BJ78" s="33">
        <f t="shared" si="136"/>
        <v>-5820.51</v>
      </c>
      <c r="BK78" s="71">
        <f>BH78</f>
        <v>7500</v>
      </c>
      <c r="BL78" s="79">
        <f t="shared" si="137"/>
        <v>0</v>
      </c>
      <c r="BM78" s="79">
        <f t="shared" si="138"/>
        <v>0</v>
      </c>
      <c r="BN78" s="87" t="s">
        <v>271</v>
      </c>
      <c r="BO78" s="87" t="s">
        <v>271</v>
      </c>
      <c r="BP78" s="71">
        <v>12851.18</v>
      </c>
      <c r="BQ78" s="32">
        <f t="shared" si="119"/>
        <v>5351.18</v>
      </c>
      <c r="BR78" s="32">
        <f t="shared" si="120"/>
        <v>5351.18</v>
      </c>
      <c r="BS78" s="32"/>
      <c r="BT78" s="87" t="s">
        <v>271</v>
      </c>
      <c r="BU78" s="33"/>
      <c r="BV78" s="34">
        <f t="shared" si="121"/>
        <v>0</v>
      </c>
      <c r="BY78" s="82"/>
      <c r="BZ78" s="82"/>
      <c r="CC78" s="37"/>
      <c r="CD78" s="71">
        <v>13320.51</v>
      </c>
    </row>
    <row r="79" spans="1:82" s="63" customFormat="1" ht="18" customHeight="1" x14ac:dyDescent="0.25">
      <c r="A79" s="96" t="s">
        <v>58</v>
      </c>
      <c r="B79" s="97"/>
      <c r="C79" s="98"/>
      <c r="D79" s="44"/>
      <c r="E79" s="53" t="s">
        <v>272</v>
      </c>
      <c r="F79" s="54"/>
      <c r="G79" s="55">
        <v>164700</v>
      </c>
      <c r="H79" s="55">
        <v>190510</v>
      </c>
      <c r="I79" s="55">
        <f t="shared" ref="I79:Q79" si="139">SUM(I80:I85)</f>
        <v>42900</v>
      </c>
      <c r="J79" s="55">
        <f t="shared" si="139"/>
        <v>0</v>
      </c>
      <c r="K79" s="55">
        <f t="shared" si="139"/>
        <v>29788</v>
      </c>
      <c r="L79" s="55">
        <f t="shared" si="139"/>
        <v>3372.66</v>
      </c>
      <c r="M79" s="55">
        <f t="shared" si="139"/>
        <v>8522.66</v>
      </c>
      <c r="N79" s="55">
        <f t="shared" si="139"/>
        <v>13452.84</v>
      </c>
      <c r="O79" s="55">
        <f t="shared" si="139"/>
        <v>13452.84</v>
      </c>
      <c r="P79" s="55">
        <f t="shared" si="139"/>
        <v>-29447.16</v>
      </c>
      <c r="Q79" s="55">
        <f t="shared" si="139"/>
        <v>3813.86</v>
      </c>
      <c r="R79" s="55"/>
      <c r="S79" s="55">
        <f>SUM(S80:S85)</f>
        <v>14015.61</v>
      </c>
      <c r="T79" s="55">
        <f t="shared" si="90"/>
        <v>-28884.39</v>
      </c>
      <c r="U79" s="56">
        <f t="shared" si="91"/>
        <v>-15772.39</v>
      </c>
      <c r="V79" s="55">
        <f t="shared" si="92"/>
        <v>562.77000000000044</v>
      </c>
      <c r="W79" s="57"/>
      <c r="X79" s="58">
        <f>SUM(X80:X85)</f>
        <v>26050.09</v>
      </c>
      <c r="Y79" s="59">
        <f t="shared" si="93"/>
        <v>12034.48</v>
      </c>
      <c r="Z79" s="33">
        <f t="shared" ref="Z79:AL79" si="140">SUM(Z80:Z85)</f>
        <v>18568</v>
      </c>
      <c r="AA79" s="33">
        <f t="shared" si="140"/>
        <v>-24332</v>
      </c>
      <c r="AB79" s="33">
        <f t="shared" si="140"/>
        <v>4552.3900000000003</v>
      </c>
      <c r="AC79" s="33">
        <f t="shared" si="140"/>
        <v>0</v>
      </c>
      <c r="AD79" s="33">
        <f t="shared" si="140"/>
        <v>0</v>
      </c>
      <c r="AE79" s="33">
        <f t="shared" si="140"/>
        <v>0</v>
      </c>
      <c r="AF79" s="33">
        <f t="shared" si="140"/>
        <v>0</v>
      </c>
      <c r="AG79" s="33">
        <f t="shared" si="140"/>
        <v>0</v>
      </c>
      <c r="AH79" s="33">
        <f t="shared" si="140"/>
        <v>18568.240000000002</v>
      </c>
      <c r="AI79" s="33">
        <f t="shared" si="140"/>
        <v>30634.661428571431</v>
      </c>
      <c r="AJ79" s="33">
        <f t="shared" si="140"/>
        <v>0.24000000000000909</v>
      </c>
      <c r="AK79" s="60">
        <f t="shared" si="140"/>
        <v>31061.256666666668</v>
      </c>
      <c r="AL79" s="33">
        <f t="shared" si="140"/>
        <v>31132.510000000002</v>
      </c>
      <c r="AM79" s="27">
        <f t="shared" si="116"/>
        <v>497.84857142857072</v>
      </c>
      <c r="AN79" s="61">
        <f t="shared" si="117"/>
        <v>12564.510000000002</v>
      </c>
      <c r="AO79" s="62">
        <f t="shared" si="118"/>
        <v>12066.661428571431</v>
      </c>
      <c r="AQ79" s="33"/>
      <c r="AR79" s="33"/>
      <c r="AS79" s="33"/>
      <c r="AT79" s="60">
        <f t="shared" ref="AT79:BP79" si="141">SUM(AT80:AT85)</f>
        <v>5175</v>
      </c>
      <c r="AU79" s="33">
        <f t="shared" si="141"/>
        <v>64424.14</v>
      </c>
      <c r="AV79" s="33">
        <f t="shared" si="141"/>
        <v>5100</v>
      </c>
      <c r="AW79" s="33">
        <f t="shared" si="141"/>
        <v>-13468</v>
      </c>
      <c r="AX79" s="33">
        <f t="shared" si="141"/>
        <v>-13393</v>
      </c>
      <c r="AY79" s="33">
        <f t="shared" si="141"/>
        <v>-25957.510000000002</v>
      </c>
      <c r="AZ79" s="33">
        <f t="shared" si="141"/>
        <v>0</v>
      </c>
      <c r="BA79" s="33">
        <f t="shared" si="141"/>
        <v>0</v>
      </c>
      <c r="BB79" s="33">
        <f t="shared" si="141"/>
        <v>0</v>
      </c>
      <c r="BC79" s="33">
        <f t="shared" si="141"/>
        <v>0</v>
      </c>
      <c r="BD79" s="33">
        <f t="shared" si="141"/>
        <v>0</v>
      </c>
      <c r="BE79" s="33">
        <f t="shared" si="141"/>
        <v>5100</v>
      </c>
      <c r="BF79" s="33">
        <f t="shared" si="141"/>
        <v>6202.4928571428582</v>
      </c>
      <c r="BG79" s="33">
        <f t="shared" si="141"/>
        <v>0</v>
      </c>
      <c r="BH79" s="33">
        <f t="shared" si="141"/>
        <v>7251.6833333333343</v>
      </c>
      <c r="BI79" s="33">
        <f t="shared" si="141"/>
        <v>1102.492857142857</v>
      </c>
      <c r="BJ79" s="33">
        <f t="shared" si="141"/>
        <v>-58221.647142857146</v>
      </c>
      <c r="BK79" s="33">
        <f t="shared" si="141"/>
        <v>7706.4663636363639</v>
      </c>
      <c r="BL79" s="33">
        <f t="shared" si="141"/>
        <v>454.78303030303039</v>
      </c>
      <c r="BM79" s="33">
        <f t="shared" si="141"/>
        <v>2606.4663636363634</v>
      </c>
      <c r="BN79" s="33">
        <f t="shared" si="141"/>
        <v>0</v>
      </c>
      <c r="BO79" s="33">
        <f t="shared" si="141"/>
        <v>0</v>
      </c>
      <c r="BP79" s="33">
        <f t="shared" si="141"/>
        <v>7716.3600000000006</v>
      </c>
      <c r="BQ79" s="32">
        <f t="shared" si="119"/>
        <v>9.8936363636366877</v>
      </c>
      <c r="BR79" s="32">
        <f t="shared" si="120"/>
        <v>2616.3600000000006</v>
      </c>
      <c r="BS79" s="32"/>
      <c r="BT79" s="32"/>
      <c r="BU79" s="33"/>
      <c r="BV79" s="34">
        <f t="shared" si="121"/>
        <v>2151.6833333333343</v>
      </c>
      <c r="BY79" s="64"/>
      <c r="BZ79" s="64"/>
      <c r="CC79" s="37"/>
      <c r="CD79" s="33">
        <f>SUM(CD80:CD85)</f>
        <v>64424.14</v>
      </c>
    </row>
    <row r="80" spans="1:82" s="77" customFormat="1" ht="18" customHeight="1" x14ac:dyDescent="0.25">
      <c r="A80" s="99" t="s">
        <v>58</v>
      </c>
      <c r="B80" s="100"/>
      <c r="C80" s="101"/>
      <c r="D80" s="43"/>
      <c r="E80" s="53"/>
      <c r="F80" s="68" t="s">
        <v>273</v>
      </c>
      <c r="G80" s="106">
        <v>3100</v>
      </c>
      <c r="H80" s="106">
        <v>3300</v>
      </c>
      <c r="I80" s="106">
        <v>2200</v>
      </c>
      <c r="J80" s="70" t="s">
        <v>274</v>
      </c>
      <c r="K80" s="106">
        <v>3215</v>
      </c>
      <c r="L80" s="106">
        <v>430</v>
      </c>
      <c r="M80" s="106">
        <f>L80</f>
        <v>430</v>
      </c>
      <c r="N80" s="106">
        <f>M80*2</f>
        <v>860</v>
      </c>
      <c r="O80" s="106">
        <f>N80</f>
        <v>860</v>
      </c>
      <c r="P80" s="106">
        <f t="shared" ref="P80:P85" si="142">N80-I80</f>
        <v>-1340</v>
      </c>
      <c r="Q80" s="106">
        <v>870</v>
      </c>
      <c r="R80" s="106"/>
      <c r="S80" s="106">
        <v>865</v>
      </c>
      <c r="T80" s="106">
        <f t="shared" si="90"/>
        <v>-1335</v>
      </c>
      <c r="U80" s="107">
        <f t="shared" si="91"/>
        <v>-2350</v>
      </c>
      <c r="V80" s="106">
        <f t="shared" si="92"/>
        <v>5</v>
      </c>
      <c r="W80" s="108"/>
      <c r="X80" s="109">
        <f>870</f>
        <v>870</v>
      </c>
      <c r="Y80" s="24">
        <f t="shared" si="93"/>
        <v>5</v>
      </c>
      <c r="Z80" s="85">
        <v>1900</v>
      </c>
      <c r="AA80" s="29">
        <f t="shared" ref="AA80:AA85" si="143">Z80-I80</f>
        <v>-300</v>
      </c>
      <c r="AB80" s="29">
        <f t="shared" ref="AB80:AB85" si="144">Z80-S80</f>
        <v>1035</v>
      </c>
      <c r="AC80" s="72" t="s">
        <v>275</v>
      </c>
      <c r="AD80" s="72"/>
      <c r="AE80" s="72"/>
      <c r="AF80" s="72"/>
      <c r="AG80" s="72"/>
      <c r="AH80" s="85">
        <f>(150*5)+(30*5)+(25*20)+(5*100)</f>
        <v>1900</v>
      </c>
      <c r="AI80" s="85">
        <f>Z80</f>
        <v>1900</v>
      </c>
      <c r="AJ80" s="85">
        <f t="shared" ref="AJ80:AJ85" si="145">AH80-Z80</f>
        <v>0</v>
      </c>
      <c r="AK80" s="86">
        <v>1900</v>
      </c>
      <c r="AL80" s="123">
        <v>1815</v>
      </c>
      <c r="AM80" s="27">
        <f t="shared" si="116"/>
        <v>-85</v>
      </c>
      <c r="AN80" s="61">
        <f t="shared" si="117"/>
        <v>-85</v>
      </c>
      <c r="AO80" s="62">
        <f t="shared" si="118"/>
        <v>0</v>
      </c>
      <c r="AQ80" s="85"/>
      <c r="AR80" s="85"/>
      <c r="AS80" s="85"/>
      <c r="AT80" s="86">
        <v>500</v>
      </c>
      <c r="AU80" s="71">
        <v>1815</v>
      </c>
      <c r="AV80" s="71">
        <f t="shared" ref="AV80:AV85" si="146">FLOOR(AT80,100)</f>
        <v>500</v>
      </c>
      <c r="AW80" s="71">
        <f t="shared" ref="AW80:AW85" si="147">AV80-Z80</f>
        <v>-1400</v>
      </c>
      <c r="AX80" s="76">
        <f t="shared" ref="AX80:AX85" si="148">AT80-Z80</f>
        <v>-1400</v>
      </c>
      <c r="AY80" s="76">
        <f t="shared" ref="AY80:AY85" si="149">AT80-AL80</f>
        <v>-1315</v>
      </c>
      <c r="BE80" s="71">
        <v>500</v>
      </c>
      <c r="BF80" s="71">
        <v>235</v>
      </c>
      <c r="BG80" s="78">
        <f t="shared" ref="BG80:BG85" si="150">BE80-AV80</f>
        <v>0</v>
      </c>
      <c r="BH80" s="71">
        <v>1285</v>
      </c>
      <c r="BI80" s="33">
        <f t="shared" ref="BI80:BI85" si="151">BF80-AV80</f>
        <v>-265</v>
      </c>
      <c r="BJ80" s="33">
        <f t="shared" ref="BJ80:BJ85" si="152">BF80-AU80</f>
        <v>-1580</v>
      </c>
      <c r="BK80" s="71">
        <v>1285</v>
      </c>
      <c r="BL80" s="79">
        <f t="shared" ref="BL80:BL85" si="153">BK80-BH80</f>
        <v>0</v>
      </c>
      <c r="BM80" s="79">
        <f t="shared" ref="BM80:BM85" si="154">BK80-AV80</f>
        <v>785</v>
      </c>
      <c r="BN80" s="87" t="s">
        <v>214</v>
      </c>
      <c r="BO80" s="87" t="s">
        <v>214</v>
      </c>
      <c r="BP80" s="71">
        <v>1285</v>
      </c>
      <c r="BQ80" s="32">
        <f t="shared" si="119"/>
        <v>0</v>
      </c>
      <c r="BR80" s="32">
        <f t="shared" si="120"/>
        <v>785</v>
      </c>
      <c r="BS80" s="32"/>
      <c r="BT80" s="87" t="s">
        <v>214</v>
      </c>
      <c r="BU80" s="33"/>
      <c r="BV80" s="34">
        <f t="shared" si="121"/>
        <v>785</v>
      </c>
      <c r="BY80" s="82"/>
      <c r="BZ80" s="82"/>
      <c r="CC80" s="37"/>
      <c r="CD80" s="71">
        <v>1815</v>
      </c>
    </row>
    <row r="81" spans="1:82" s="77" customFormat="1" ht="18" customHeight="1" x14ac:dyDescent="0.25">
      <c r="A81" s="99" t="s">
        <v>58</v>
      </c>
      <c r="B81" s="100"/>
      <c r="C81" s="101"/>
      <c r="D81" s="43"/>
      <c r="E81" s="53"/>
      <c r="F81" s="68" t="s">
        <v>272</v>
      </c>
      <c r="G81" s="106">
        <v>4800</v>
      </c>
      <c r="H81" s="106">
        <v>10000</v>
      </c>
      <c r="I81" s="106">
        <v>10300</v>
      </c>
      <c r="J81" s="70"/>
      <c r="K81" s="106">
        <v>10848.33</v>
      </c>
      <c r="L81" s="106"/>
      <c r="M81" s="106">
        <f>I81/2</f>
        <v>5150</v>
      </c>
      <c r="N81" s="106">
        <f>I81</f>
        <v>10300</v>
      </c>
      <c r="O81" s="106">
        <f>I81</f>
        <v>10300</v>
      </c>
      <c r="P81" s="106">
        <f t="shared" si="142"/>
        <v>0</v>
      </c>
      <c r="Q81" s="106"/>
      <c r="R81" s="106"/>
      <c r="S81" s="106">
        <f>4075+4000+2500+200</f>
        <v>10775</v>
      </c>
      <c r="T81" s="106">
        <f t="shared" si="90"/>
        <v>475</v>
      </c>
      <c r="U81" s="107">
        <f t="shared" si="91"/>
        <v>-73.329999999999927</v>
      </c>
      <c r="V81" s="106">
        <f t="shared" si="92"/>
        <v>475</v>
      </c>
      <c r="W81" s="108" t="s">
        <v>276</v>
      </c>
      <c r="X81" s="109">
        <f>12725+4425</f>
        <v>17150</v>
      </c>
      <c r="Y81" s="24">
        <f t="shared" si="93"/>
        <v>6375</v>
      </c>
      <c r="Z81" s="85">
        <v>16100</v>
      </c>
      <c r="AA81" s="29">
        <f t="shared" si="143"/>
        <v>5800</v>
      </c>
      <c r="AB81" s="29">
        <f t="shared" si="144"/>
        <v>5325</v>
      </c>
      <c r="AC81" s="72" t="s">
        <v>277</v>
      </c>
      <c r="AD81" s="72"/>
      <c r="AE81" s="72"/>
      <c r="AF81" s="72"/>
      <c r="AG81" s="72"/>
      <c r="AH81" s="85">
        <f>4000+4000+2500+4000+1600</f>
        <v>16100</v>
      </c>
      <c r="AI81" s="85">
        <f>4550</f>
        <v>4550</v>
      </c>
      <c r="AJ81" s="85">
        <f t="shared" si="145"/>
        <v>0</v>
      </c>
      <c r="AK81" s="86">
        <v>4550</v>
      </c>
      <c r="AL81" s="123">
        <v>4675</v>
      </c>
      <c r="AM81" s="27">
        <f t="shared" si="116"/>
        <v>125</v>
      </c>
      <c r="AN81" s="61">
        <f t="shared" si="117"/>
        <v>-11425</v>
      </c>
      <c r="AO81" s="62">
        <f t="shared" si="118"/>
        <v>-11550</v>
      </c>
      <c r="AQ81" s="85" t="s">
        <v>278</v>
      </c>
      <c r="AR81" s="85" t="s">
        <v>278</v>
      </c>
      <c r="AS81" s="85" t="s">
        <v>278</v>
      </c>
      <c r="AT81" s="86">
        <f>AL81</f>
        <v>4675</v>
      </c>
      <c r="AU81" s="71">
        <v>4668.79</v>
      </c>
      <c r="AV81" s="71">
        <f t="shared" si="146"/>
        <v>4600</v>
      </c>
      <c r="AW81" s="71">
        <f t="shared" si="147"/>
        <v>-11500</v>
      </c>
      <c r="AX81" s="76">
        <f t="shared" si="148"/>
        <v>-11425</v>
      </c>
      <c r="AY81" s="76">
        <f t="shared" si="149"/>
        <v>0</v>
      </c>
      <c r="AZ81" s="77" t="s">
        <v>250</v>
      </c>
      <c r="BE81" s="71">
        <v>4600</v>
      </c>
      <c r="BF81" s="71">
        <f>AV81+600</f>
        <v>5200</v>
      </c>
      <c r="BG81" s="78">
        <f t="shared" si="150"/>
        <v>0</v>
      </c>
      <c r="BH81" s="71">
        <f>BF81</f>
        <v>5200</v>
      </c>
      <c r="BI81" s="33">
        <f t="shared" si="151"/>
        <v>600</v>
      </c>
      <c r="BJ81" s="33">
        <f t="shared" si="152"/>
        <v>531.21</v>
      </c>
      <c r="BK81" s="71">
        <v>5625</v>
      </c>
      <c r="BL81" s="79">
        <f t="shared" si="153"/>
        <v>425</v>
      </c>
      <c r="BM81" s="79">
        <f t="shared" si="154"/>
        <v>1025</v>
      </c>
      <c r="BN81" s="87" t="s">
        <v>279</v>
      </c>
      <c r="BO81" s="87" t="s">
        <v>280</v>
      </c>
      <c r="BP81" s="71">
        <f>5350+275</f>
        <v>5625</v>
      </c>
      <c r="BQ81" s="32">
        <f t="shared" si="119"/>
        <v>0</v>
      </c>
      <c r="BR81" s="32">
        <f t="shared" si="120"/>
        <v>1025</v>
      </c>
      <c r="BS81" s="87" t="s">
        <v>281</v>
      </c>
      <c r="BT81" s="87" t="s">
        <v>279</v>
      </c>
      <c r="BU81" s="33"/>
      <c r="BV81" s="34">
        <f t="shared" si="121"/>
        <v>600</v>
      </c>
      <c r="BY81" s="82"/>
      <c r="BZ81" s="82"/>
      <c r="CC81" s="37"/>
      <c r="CD81" s="71">
        <v>4668.79</v>
      </c>
    </row>
    <row r="82" spans="1:82" s="77" customFormat="1" ht="18" customHeight="1" x14ac:dyDescent="0.25">
      <c r="A82" s="99" t="s">
        <v>58</v>
      </c>
      <c r="B82" s="100"/>
      <c r="C82" s="101"/>
      <c r="D82" s="43"/>
      <c r="E82" s="53"/>
      <c r="F82" s="68" t="s">
        <v>282</v>
      </c>
      <c r="G82" s="106">
        <v>0</v>
      </c>
      <c r="H82" s="106">
        <v>10</v>
      </c>
      <c r="I82" s="106">
        <v>0</v>
      </c>
      <c r="J82" s="70" t="s">
        <v>283</v>
      </c>
      <c r="K82" s="106">
        <v>9.33</v>
      </c>
      <c r="L82" s="106">
        <v>0.42</v>
      </c>
      <c r="M82" s="106">
        <f>L82</f>
        <v>0.42</v>
      </c>
      <c r="N82" s="106">
        <f>M82*2</f>
        <v>0.84</v>
      </c>
      <c r="O82" s="106">
        <f>N82</f>
        <v>0.84</v>
      </c>
      <c r="P82" s="106">
        <f t="shared" si="142"/>
        <v>0.84</v>
      </c>
      <c r="Q82" s="106">
        <v>1.62</v>
      </c>
      <c r="R82" s="106"/>
      <c r="S82" s="106">
        <f>Q82</f>
        <v>1.62</v>
      </c>
      <c r="T82" s="106">
        <f t="shared" si="90"/>
        <v>1.62</v>
      </c>
      <c r="U82" s="107">
        <f t="shared" si="91"/>
        <v>-7.71</v>
      </c>
      <c r="V82" s="106">
        <f t="shared" si="92"/>
        <v>0.78000000000000014</v>
      </c>
      <c r="W82" s="108"/>
      <c r="X82" s="109">
        <v>2.09</v>
      </c>
      <c r="Y82" s="24">
        <f t="shared" si="93"/>
        <v>0.46999999999999975</v>
      </c>
      <c r="Z82" s="85">
        <v>0</v>
      </c>
      <c r="AA82" s="29">
        <f t="shared" si="143"/>
        <v>0</v>
      </c>
      <c r="AB82" s="29">
        <f t="shared" si="144"/>
        <v>-1.62</v>
      </c>
      <c r="AC82" s="72"/>
      <c r="AD82" s="72"/>
      <c r="AE82" s="72"/>
      <c r="AF82" s="72"/>
      <c r="AG82" s="72"/>
      <c r="AH82" s="85">
        <v>0</v>
      </c>
      <c r="AI82" s="85">
        <f>0.8/7*12</f>
        <v>1.3714285714285714</v>
      </c>
      <c r="AJ82" s="85">
        <f t="shared" si="145"/>
        <v>0</v>
      </c>
      <c r="AK82" s="86">
        <v>3.746666666666667</v>
      </c>
      <c r="AL82" s="123">
        <f>6.16/11*12</f>
        <v>6.7200000000000006</v>
      </c>
      <c r="AM82" s="27">
        <f t="shared" si="116"/>
        <v>5.3485714285714288</v>
      </c>
      <c r="AN82" s="61">
        <f t="shared" si="117"/>
        <v>6.7200000000000006</v>
      </c>
      <c r="AO82" s="62">
        <f t="shared" si="118"/>
        <v>1.3714285714285714</v>
      </c>
      <c r="AQ82" s="90" t="s">
        <v>106</v>
      </c>
      <c r="AR82" s="90" t="s">
        <v>256</v>
      </c>
      <c r="AS82" s="90" t="s">
        <v>106</v>
      </c>
      <c r="AT82" s="86">
        <v>0</v>
      </c>
      <c r="AU82" s="71">
        <v>10.16</v>
      </c>
      <c r="AV82" s="71">
        <f t="shared" si="146"/>
        <v>0</v>
      </c>
      <c r="AW82" s="71">
        <f t="shared" si="147"/>
        <v>0</v>
      </c>
      <c r="AX82" s="76">
        <f t="shared" si="148"/>
        <v>0</v>
      </c>
      <c r="AY82" s="76">
        <f t="shared" si="149"/>
        <v>-6.7200000000000006</v>
      </c>
      <c r="BE82" s="71">
        <v>0</v>
      </c>
      <c r="BF82" s="71">
        <f>6.71/7*12</f>
        <v>11.502857142857142</v>
      </c>
      <c r="BG82" s="78">
        <f t="shared" si="150"/>
        <v>0</v>
      </c>
      <c r="BH82" s="71">
        <v>10.693333333333333</v>
      </c>
      <c r="BI82" s="33">
        <f t="shared" si="151"/>
        <v>11.502857142857142</v>
      </c>
      <c r="BJ82" s="33">
        <f t="shared" si="152"/>
        <v>1.3428571428571416</v>
      </c>
      <c r="BK82" s="71">
        <f>11.18/11*12</f>
        <v>12.196363636363635</v>
      </c>
      <c r="BL82" s="79">
        <f t="shared" si="153"/>
        <v>1.5030303030303021</v>
      </c>
      <c r="BM82" s="79">
        <f t="shared" si="154"/>
        <v>12.196363636363635</v>
      </c>
      <c r="BN82" s="87" t="s">
        <v>108</v>
      </c>
      <c r="BO82" s="91" t="s">
        <v>109</v>
      </c>
      <c r="BP82" s="71">
        <v>11.18</v>
      </c>
      <c r="BQ82" s="32">
        <f t="shared" si="119"/>
        <v>-1.0163636363636357</v>
      </c>
      <c r="BR82" s="32">
        <f t="shared" si="120"/>
        <v>11.18</v>
      </c>
      <c r="BS82" s="92"/>
      <c r="BT82" s="87" t="s">
        <v>110</v>
      </c>
      <c r="BU82" s="33"/>
      <c r="BV82" s="34">
        <f t="shared" si="121"/>
        <v>10.693333333333333</v>
      </c>
      <c r="BY82" s="82"/>
      <c r="BZ82" s="82"/>
      <c r="CC82" s="37"/>
      <c r="CD82" s="71">
        <v>10.16</v>
      </c>
    </row>
    <row r="83" spans="1:82" s="77" customFormat="1" ht="18" customHeight="1" x14ac:dyDescent="0.25">
      <c r="A83" s="99" t="s">
        <v>58</v>
      </c>
      <c r="B83" s="100"/>
      <c r="C83" s="101"/>
      <c r="D83" s="43"/>
      <c r="E83" s="53"/>
      <c r="F83" s="68" t="s">
        <v>284</v>
      </c>
      <c r="G83" s="106">
        <v>1300</v>
      </c>
      <c r="H83" s="106">
        <v>1300</v>
      </c>
      <c r="I83" s="106">
        <v>1300</v>
      </c>
      <c r="J83" s="70" t="s">
        <v>285</v>
      </c>
      <c r="K83" s="106">
        <v>1382.03</v>
      </c>
      <c r="L83" s="106">
        <v>1950.24</v>
      </c>
      <c r="M83" s="106">
        <f>L83</f>
        <v>1950.24</v>
      </c>
      <c r="N83" s="106">
        <f>I83</f>
        <v>1300</v>
      </c>
      <c r="O83" s="106">
        <f>I83</f>
        <v>1300</v>
      </c>
      <c r="P83" s="106">
        <f t="shared" si="142"/>
        <v>0</v>
      </c>
      <c r="Q83" s="106">
        <v>1950.24</v>
      </c>
      <c r="R83" s="106"/>
      <c r="S83" s="106">
        <v>1381.99</v>
      </c>
      <c r="T83" s="106">
        <f t="shared" si="90"/>
        <v>81.990000000000009</v>
      </c>
      <c r="U83" s="107">
        <f t="shared" si="91"/>
        <v>-3.999999999996362E-2</v>
      </c>
      <c r="V83" s="106">
        <f t="shared" si="92"/>
        <v>81.990000000000009</v>
      </c>
      <c r="W83" s="108" t="s">
        <v>286</v>
      </c>
      <c r="X83" s="109">
        <f>1950.24-568.24</f>
        <v>1382</v>
      </c>
      <c r="Y83" s="24">
        <f t="shared" si="93"/>
        <v>9.9999999999909051E-3</v>
      </c>
      <c r="Z83" s="85">
        <v>568</v>
      </c>
      <c r="AA83" s="29">
        <f t="shared" si="143"/>
        <v>-732</v>
      </c>
      <c r="AB83" s="29">
        <f t="shared" si="144"/>
        <v>-813.99</v>
      </c>
      <c r="AC83" s="72" t="s">
        <v>287</v>
      </c>
      <c r="AD83" s="72"/>
      <c r="AE83" s="72"/>
      <c r="AF83" s="72"/>
      <c r="AG83" s="72"/>
      <c r="AH83" s="85">
        <v>568.24</v>
      </c>
      <c r="AI83" s="85">
        <v>568.25</v>
      </c>
      <c r="AJ83" s="85">
        <f t="shared" si="145"/>
        <v>0.24000000000000909</v>
      </c>
      <c r="AK83" s="86">
        <v>568.25</v>
      </c>
      <c r="AL83" s="123">
        <v>568.25</v>
      </c>
      <c r="AM83" s="27">
        <f t="shared" si="116"/>
        <v>0</v>
      </c>
      <c r="AN83" s="61">
        <f t="shared" si="117"/>
        <v>0.25</v>
      </c>
      <c r="AO83" s="62">
        <f t="shared" si="118"/>
        <v>0.25</v>
      </c>
      <c r="AQ83" s="85" t="s">
        <v>288</v>
      </c>
      <c r="AR83" s="85" t="s">
        <v>288</v>
      </c>
      <c r="AS83" s="85" t="s">
        <v>288</v>
      </c>
      <c r="AT83" s="86">
        <v>0</v>
      </c>
      <c r="AU83" s="71">
        <v>568.25</v>
      </c>
      <c r="AV83" s="71">
        <f t="shared" si="146"/>
        <v>0</v>
      </c>
      <c r="AW83" s="71">
        <f t="shared" si="147"/>
        <v>-568</v>
      </c>
      <c r="AX83" s="76">
        <f t="shared" si="148"/>
        <v>-568</v>
      </c>
      <c r="AY83" s="76">
        <f t="shared" si="149"/>
        <v>-568.25</v>
      </c>
      <c r="BE83" s="71">
        <v>0</v>
      </c>
      <c r="BF83" s="71">
        <v>0</v>
      </c>
      <c r="BG83" s="78">
        <f t="shared" si="150"/>
        <v>0</v>
      </c>
      <c r="BH83" s="71">
        <v>0</v>
      </c>
      <c r="BI83" s="33">
        <f t="shared" si="151"/>
        <v>0</v>
      </c>
      <c r="BJ83" s="33">
        <f t="shared" si="152"/>
        <v>-568.25</v>
      </c>
      <c r="BK83" s="71">
        <v>0</v>
      </c>
      <c r="BL83" s="79">
        <f t="shared" si="153"/>
        <v>0</v>
      </c>
      <c r="BM83" s="79">
        <f t="shared" si="154"/>
        <v>0</v>
      </c>
      <c r="BN83" s="32"/>
      <c r="BO83" s="32"/>
      <c r="BP83" s="71">
        <v>0</v>
      </c>
      <c r="BQ83" s="32">
        <f t="shared" si="119"/>
        <v>0</v>
      </c>
      <c r="BR83" s="32">
        <f t="shared" si="120"/>
        <v>0</v>
      </c>
      <c r="BS83" s="32"/>
      <c r="BT83" s="32"/>
      <c r="BU83" s="33"/>
      <c r="BV83" s="34">
        <f t="shared" si="121"/>
        <v>0</v>
      </c>
      <c r="BY83" s="82"/>
      <c r="BZ83" s="82"/>
      <c r="CC83" s="37"/>
      <c r="CD83" s="71">
        <v>568.25</v>
      </c>
    </row>
    <row r="84" spans="1:82" s="77" customFormat="1" ht="18" customHeight="1" x14ac:dyDescent="0.25">
      <c r="A84" s="99" t="s">
        <v>58</v>
      </c>
      <c r="B84" s="100"/>
      <c r="C84" s="101"/>
      <c r="D84" s="43"/>
      <c r="E84" s="53"/>
      <c r="F84" s="68" t="s">
        <v>289</v>
      </c>
      <c r="G84" s="106">
        <v>155500</v>
      </c>
      <c r="H84" s="106">
        <v>165300</v>
      </c>
      <c r="I84" s="106">
        <v>29100</v>
      </c>
      <c r="J84" s="70"/>
      <c r="K84" s="106">
        <v>3733.31</v>
      </c>
      <c r="L84" s="106">
        <v>992</v>
      </c>
      <c r="M84" s="106">
        <f>L84</f>
        <v>992</v>
      </c>
      <c r="N84" s="106">
        <f>M84</f>
        <v>992</v>
      </c>
      <c r="O84" s="106">
        <f>M84</f>
        <v>992</v>
      </c>
      <c r="P84" s="106">
        <f t="shared" si="142"/>
        <v>-28108</v>
      </c>
      <c r="Q84" s="106">
        <v>992</v>
      </c>
      <c r="R84" s="106"/>
      <c r="S84" s="106">
        <f>Q84</f>
        <v>992</v>
      </c>
      <c r="T84" s="106">
        <f t="shared" si="90"/>
        <v>-28108</v>
      </c>
      <c r="U84" s="107">
        <f t="shared" si="91"/>
        <v>-2741.31</v>
      </c>
      <c r="V84" s="106">
        <f t="shared" si="92"/>
        <v>0</v>
      </c>
      <c r="W84" s="108" t="s">
        <v>290</v>
      </c>
      <c r="X84" s="109">
        <f>6646</f>
        <v>6646</v>
      </c>
      <c r="Y84" s="24">
        <f t="shared" si="93"/>
        <v>5654</v>
      </c>
      <c r="Z84" s="85">
        <v>0</v>
      </c>
      <c r="AA84" s="29">
        <f t="shared" si="143"/>
        <v>-29100</v>
      </c>
      <c r="AB84" s="29">
        <f t="shared" si="144"/>
        <v>-992</v>
      </c>
      <c r="AC84" s="72"/>
      <c r="AD84" s="72"/>
      <c r="AE84" s="72"/>
      <c r="AF84" s="72"/>
      <c r="AG84" s="72"/>
      <c r="AH84" s="85">
        <v>0</v>
      </c>
      <c r="AI84" s="85">
        <f>12+3971.18+19631.86</f>
        <v>23615.040000000001</v>
      </c>
      <c r="AJ84" s="85">
        <f t="shared" si="145"/>
        <v>0</v>
      </c>
      <c r="AK84" s="86">
        <v>23845.040000000001</v>
      </c>
      <c r="AL84" s="123">
        <f>270.28+3971.18+19631.86</f>
        <v>23873.32</v>
      </c>
      <c r="AM84" s="27">
        <f t="shared" si="116"/>
        <v>258.27999999999884</v>
      </c>
      <c r="AN84" s="61">
        <f t="shared" si="117"/>
        <v>23873.32</v>
      </c>
      <c r="AO84" s="62">
        <f t="shared" si="118"/>
        <v>23615.040000000001</v>
      </c>
      <c r="AQ84" s="143" t="s">
        <v>291</v>
      </c>
      <c r="AR84" s="143" t="s">
        <v>291</v>
      </c>
      <c r="AS84" s="143" t="s">
        <v>291</v>
      </c>
      <c r="AT84" s="86">
        <v>0</v>
      </c>
      <c r="AU84" s="71">
        <v>57167.72</v>
      </c>
      <c r="AV84" s="71">
        <f t="shared" si="146"/>
        <v>0</v>
      </c>
      <c r="AW84" s="71">
        <f t="shared" si="147"/>
        <v>0</v>
      </c>
      <c r="AX84" s="76">
        <f t="shared" si="148"/>
        <v>0</v>
      </c>
      <c r="AY84" s="76">
        <f t="shared" si="149"/>
        <v>-23873.32</v>
      </c>
      <c r="BE84" s="71">
        <v>0</v>
      </c>
      <c r="BF84" s="71">
        <v>704.43</v>
      </c>
      <c r="BG84" s="78">
        <f t="shared" si="150"/>
        <v>0</v>
      </c>
      <c r="BH84" s="71">
        <f>BF84</f>
        <v>704.43</v>
      </c>
      <c r="BI84" s="33">
        <f t="shared" si="151"/>
        <v>704.43</v>
      </c>
      <c r="BJ84" s="33">
        <f t="shared" si="152"/>
        <v>-56463.29</v>
      </c>
      <c r="BK84" s="71">
        <v>732.71</v>
      </c>
      <c r="BL84" s="79">
        <f t="shared" si="153"/>
        <v>28.280000000000086</v>
      </c>
      <c r="BM84" s="79">
        <f t="shared" si="154"/>
        <v>732.71</v>
      </c>
      <c r="BN84" s="87" t="s">
        <v>214</v>
      </c>
      <c r="BO84" s="87" t="s">
        <v>214</v>
      </c>
      <c r="BP84" s="71">
        <v>743.62</v>
      </c>
      <c r="BQ84" s="32">
        <f t="shared" si="119"/>
        <v>10.909999999999968</v>
      </c>
      <c r="BR84" s="32">
        <f t="shared" si="120"/>
        <v>743.62</v>
      </c>
      <c r="BS84" s="32"/>
      <c r="BT84" s="87" t="s">
        <v>214</v>
      </c>
      <c r="BU84" s="33"/>
      <c r="BV84" s="34">
        <f t="shared" si="121"/>
        <v>704.43</v>
      </c>
      <c r="BY84" s="82"/>
      <c r="BZ84" s="82"/>
      <c r="CC84" s="37"/>
      <c r="CD84" s="71">
        <v>57167.72</v>
      </c>
    </row>
    <row r="85" spans="1:82" s="77" customFormat="1" ht="18" customHeight="1" x14ac:dyDescent="0.25">
      <c r="A85" s="99" t="s">
        <v>58</v>
      </c>
      <c r="B85" s="100"/>
      <c r="C85" s="101"/>
      <c r="D85" s="43"/>
      <c r="E85" s="53"/>
      <c r="F85" s="68" t="s">
        <v>292</v>
      </c>
      <c r="G85" s="106">
        <v>0</v>
      </c>
      <c r="H85" s="106">
        <v>10600</v>
      </c>
      <c r="I85" s="106">
        <v>0</v>
      </c>
      <c r="J85" s="70"/>
      <c r="K85" s="106">
        <v>10600</v>
      </c>
      <c r="L85" s="106"/>
      <c r="M85" s="106"/>
      <c r="N85" s="106">
        <f>M85*2</f>
        <v>0</v>
      </c>
      <c r="O85" s="106">
        <v>0</v>
      </c>
      <c r="P85" s="106">
        <f t="shared" si="142"/>
        <v>0</v>
      </c>
      <c r="Q85" s="106"/>
      <c r="R85" s="106"/>
      <c r="S85" s="106">
        <v>0</v>
      </c>
      <c r="T85" s="106">
        <f t="shared" si="90"/>
        <v>0</v>
      </c>
      <c r="U85" s="107">
        <f t="shared" si="91"/>
        <v>-10600</v>
      </c>
      <c r="V85" s="106">
        <f t="shared" si="92"/>
        <v>0</v>
      </c>
      <c r="W85" s="108"/>
      <c r="X85" s="109"/>
      <c r="Y85" s="24">
        <f t="shared" si="93"/>
        <v>0</v>
      </c>
      <c r="Z85" s="85">
        <v>0</v>
      </c>
      <c r="AA85" s="29">
        <f t="shared" si="143"/>
        <v>0</v>
      </c>
      <c r="AB85" s="29">
        <f t="shared" si="144"/>
        <v>0</v>
      </c>
      <c r="AC85" s="72"/>
      <c r="AD85" s="72"/>
      <c r="AE85" s="72"/>
      <c r="AF85" s="72"/>
      <c r="AG85" s="72"/>
      <c r="AH85" s="85">
        <v>0</v>
      </c>
      <c r="AI85" s="85">
        <v>0</v>
      </c>
      <c r="AJ85" s="85">
        <f t="shared" si="145"/>
        <v>0</v>
      </c>
      <c r="AK85" s="86">
        <v>194.22</v>
      </c>
      <c r="AL85" s="123">
        <v>194.22</v>
      </c>
      <c r="AM85" s="27">
        <f t="shared" si="116"/>
        <v>194.22</v>
      </c>
      <c r="AN85" s="61">
        <f t="shared" si="117"/>
        <v>194.22</v>
      </c>
      <c r="AO85" s="62">
        <f t="shared" si="118"/>
        <v>0</v>
      </c>
      <c r="AQ85" s="85"/>
      <c r="AR85" s="85" t="s">
        <v>293</v>
      </c>
      <c r="AS85" s="85"/>
      <c r="AT85" s="86">
        <v>0</v>
      </c>
      <c r="AU85" s="71">
        <v>194.22</v>
      </c>
      <c r="AV85" s="71">
        <f t="shared" si="146"/>
        <v>0</v>
      </c>
      <c r="AW85" s="71">
        <f t="shared" si="147"/>
        <v>0</v>
      </c>
      <c r="AX85" s="76">
        <f t="shared" si="148"/>
        <v>0</v>
      </c>
      <c r="AY85" s="76">
        <f t="shared" si="149"/>
        <v>-194.22</v>
      </c>
      <c r="BE85" s="71">
        <v>0</v>
      </c>
      <c r="BF85" s="71">
        <v>51.56</v>
      </c>
      <c r="BG85" s="78">
        <f t="shared" si="150"/>
        <v>0</v>
      </c>
      <c r="BH85" s="71">
        <f>BF85</f>
        <v>51.56</v>
      </c>
      <c r="BI85" s="33">
        <f t="shared" si="151"/>
        <v>51.56</v>
      </c>
      <c r="BJ85" s="33">
        <f t="shared" si="152"/>
        <v>-142.66</v>
      </c>
      <c r="BK85" s="71">
        <v>51.56</v>
      </c>
      <c r="BL85" s="79">
        <f t="shared" si="153"/>
        <v>0</v>
      </c>
      <c r="BM85" s="79">
        <f t="shared" si="154"/>
        <v>51.56</v>
      </c>
      <c r="BN85" s="87" t="s">
        <v>214</v>
      </c>
      <c r="BO85" s="87" t="s">
        <v>214</v>
      </c>
      <c r="BP85" s="71">
        <v>51.56</v>
      </c>
      <c r="BQ85" s="32">
        <f t="shared" si="119"/>
        <v>0</v>
      </c>
      <c r="BR85" s="32">
        <f t="shared" si="120"/>
        <v>51.56</v>
      </c>
      <c r="BS85" s="32"/>
      <c r="BT85" s="87" t="s">
        <v>214</v>
      </c>
      <c r="BU85" s="33"/>
      <c r="BV85" s="34">
        <f t="shared" si="121"/>
        <v>51.56</v>
      </c>
      <c r="BY85" s="82"/>
      <c r="BZ85" s="82"/>
      <c r="CC85" s="37"/>
      <c r="CD85" s="71">
        <v>194.22</v>
      </c>
    </row>
    <row r="86" spans="1:82" s="35" customFormat="1" ht="18" customHeight="1" x14ac:dyDescent="0.25">
      <c r="A86" s="18" t="s">
        <v>58</v>
      </c>
      <c r="B86" s="144" t="s">
        <v>294</v>
      </c>
      <c r="C86" s="119"/>
      <c r="D86" s="119"/>
      <c r="E86" s="122"/>
      <c r="F86" s="40"/>
      <c r="G86" s="20">
        <v>12309450</v>
      </c>
      <c r="H86" s="20">
        <v>11675460</v>
      </c>
      <c r="I86" s="20">
        <f t="shared" ref="I86:Q86" si="155">I87+I131+I215+I222+I250+I280+I299</f>
        <v>11676800</v>
      </c>
      <c r="J86" s="20" t="e">
        <f t="shared" si="155"/>
        <v>#VALUE!</v>
      </c>
      <c r="K86" s="20">
        <f t="shared" si="155"/>
        <v>11789906.879999999</v>
      </c>
      <c r="L86" s="20">
        <f t="shared" si="155"/>
        <v>5171789.959999999</v>
      </c>
      <c r="M86" s="20" t="e">
        <f t="shared" si="155"/>
        <v>#REF!</v>
      </c>
      <c r="N86" s="20">
        <f t="shared" si="155"/>
        <v>11466529.238866668</v>
      </c>
      <c r="O86" s="20">
        <f t="shared" si="155"/>
        <v>11759286.703783425</v>
      </c>
      <c r="P86" s="20">
        <f t="shared" si="155"/>
        <v>5927323.2372000013</v>
      </c>
      <c r="Q86" s="20">
        <f t="shared" si="155"/>
        <v>7738288.2100000018</v>
      </c>
      <c r="R86" s="20"/>
      <c r="S86" s="20">
        <f>S87+S131+S215+S222+S250+S280+S299</f>
        <v>12344888.652096001</v>
      </c>
      <c r="T86" s="20">
        <f t="shared" si="90"/>
        <v>668088.65209600143</v>
      </c>
      <c r="U86" s="21">
        <f t="shared" si="91"/>
        <v>554981.77209600247</v>
      </c>
      <c r="V86" s="20">
        <f t="shared" si="92"/>
        <v>585601.94831257686</v>
      </c>
      <c r="W86" s="22"/>
      <c r="X86" s="23">
        <f>X87+X131+X215+X222+X250+X280+X299</f>
        <v>12526626.536151517</v>
      </c>
      <c r="Y86" s="24">
        <f t="shared" si="93"/>
        <v>181737.88405551575</v>
      </c>
      <c r="Z86" s="25">
        <f t="shared" ref="Z86:AL86" si="156">Z87+Z131+Z215+Z222+Z250+Z280+Z299</f>
        <v>12517534</v>
      </c>
      <c r="AA86" s="25">
        <f t="shared" si="156"/>
        <v>840734</v>
      </c>
      <c r="AB86" s="25">
        <f t="shared" si="156"/>
        <v>155645.34790400029</v>
      </c>
      <c r="AC86" s="25" t="e">
        <f t="shared" si="156"/>
        <v>#VALUE!</v>
      </c>
      <c r="AD86" s="25">
        <f t="shared" si="156"/>
        <v>1628058.7925533336</v>
      </c>
      <c r="AE86" s="25">
        <f t="shared" si="156"/>
        <v>709991.60109999997</v>
      </c>
      <c r="AF86" s="25">
        <f t="shared" si="156"/>
        <v>392200</v>
      </c>
      <c r="AG86" s="25">
        <f t="shared" si="156"/>
        <v>5300</v>
      </c>
      <c r="AH86" s="25">
        <f t="shared" si="156"/>
        <v>12218986.545447726</v>
      </c>
      <c r="AI86" s="25">
        <f t="shared" si="156"/>
        <v>12291604.254095238</v>
      </c>
      <c r="AJ86" s="25">
        <f t="shared" si="156"/>
        <v>-298547.45455227559</v>
      </c>
      <c r="AK86" s="26">
        <f t="shared" si="156"/>
        <v>12485807.720843049</v>
      </c>
      <c r="AL86" s="25">
        <f t="shared" si="156"/>
        <v>12435219.891277406</v>
      </c>
      <c r="AM86" s="27">
        <f t="shared" si="116"/>
        <v>143615.63718216866</v>
      </c>
      <c r="AN86" s="28">
        <f t="shared" si="117"/>
        <v>-82314.108722593635</v>
      </c>
      <c r="AO86" s="50">
        <f t="shared" si="118"/>
        <v>-225929.7459047623</v>
      </c>
      <c r="AP86" s="29">
        <f>SUM(AP87:AP351)</f>
        <v>-276146.8312189423</v>
      </c>
      <c r="AQ86" s="25"/>
      <c r="AR86" s="25"/>
      <c r="AS86" s="25"/>
      <c r="AT86" s="26" t="e">
        <f t="shared" ref="AT86:BP86" si="157">AT87+AT131+AT215+AT222+AT250+AT280+AT299</f>
        <v>#REF!</v>
      </c>
      <c r="AU86" s="25">
        <f t="shared" si="157"/>
        <v>12729730.799999997</v>
      </c>
      <c r="AV86" s="25">
        <f t="shared" si="157"/>
        <v>12790400</v>
      </c>
      <c r="AW86" s="25">
        <f t="shared" si="157"/>
        <v>272866</v>
      </c>
      <c r="AX86" s="25" t="e">
        <f t="shared" si="157"/>
        <v>#REF!</v>
      </c>
      <c r="AY86" s="25" t="e">
        <f t="shared" si="157"/>
        <v>#REF!</v>
      </c>
      <c r="AZ86" s="25">
        <f t="shared" si="157"/>
        <v>211.52</v>
      </c>
      <c r="BA86" s="25">
        <f t="shared" si="157"/>
        <v>2859.38</v>
      </c>
      <c r="BB86" s="25">
        <f t="shared" si="157"/>
        <v>11.059999999999974</v>
      </c>
      <c r="BC86" s="25">
        <f t="shared" si="157"/>
        <v>409219.99999999901</v>
      </c>
      <c r="BD86" s="25">
        <f t="shared" si="157"/>
        <v>8843422.6642397866</v>
      </c>
      <c r="BE86" s="25">
        <f t="shared" si="157"/>
        <v>12783913.74</v>
      </c>
      <c r="BF86" s="25">
        <f t="shared" si="157"/>
        <v>13283472.839030571</v>
      </c>
      <c r="BG86" s="25">
        <f t="shared" si="157"/>
        <v>-6486.2600000000384</v>
      </c>
      <c r="BH86" s="25">
        <f t="shared" si="157"/>
        <v>13273418.713667344</v>
      </c>
      <c r="BI86" s="25">
        <f t="shared" si="157"/>
        <v>493072.83903057151</v>
      </c>
      <c r="BJ86" s="25">
        <f t="shared" si="157"/>
        <v>553742.039030571</v>
      </c>
      <c r="BK86" s="25">
        <f t="shared" si="157"/>
        <v>14992563.552003635</v>
      </c>
      <c r="BL86" s="25">
        <f t="shared" si="157"/>
        <v>1719145.8383362899</v>
      </c>
      <c r="BM86" s="25">
        <f t="shared" si="157"/>
        <v>2202165.5520036356</v>
      </c>
      <c r="BN86" s="25" t="e">
        <f t="shared" si="157"/>
        <v>#VALUE!</v>
      </c>
      <c r="BO86" s="25" t="e">
        <f t="shared" si="157"/>
        <v>#VALUE!</v>
      </c>
      <c r="BP86" s="25">
        <f t="shared" si="157"/>
        <v>15026480.419999998</v>
      </c>
      <c r="BQ86" s="31">
        <f t="shared" si="119"/>
        <v>33916.867996362969</v>
      </c>
      <c r="BR86" s="31">
        <f t="shared" si="120"/>
        <v>2236080.4199999981</v>
      </c>
      <c r="BS86" s="32"/>
      <c r="BT86" s="32"/>
      <c r="BU86" s="33"/>
      <c r="BV86" s="34">
        <f t="shared" si="121"/>
        <v>483018.7136673443</v>
      </c>
      <c r="BY86" s="36"/>
      <c r="BZ86" s="36"/>
      <c r="CC86" s="37"/>
      <c r="CD86" s="25">
        <f>CD87+CD131+CD215+CD222+CD250+CD280+CD299</f>
        <v>12729730.799999997</v>
      </c>
    </row>
    <row r="87" spans="1:82" s="35" customFormat="1" ht="18" customHeight="1" x14ac:dyDescent="0.25">
      <c r="A87" s="38" t="s">
        <v>58</v>
      </c>
      <c r="B87" s="39"/>
      <c r="C87" s="119" t="s">
        <v>295</v>
      </c>
      <c r="D87" s="119"/>
      <c r="E87" s="122"/>
      <c r="F87" s="40"/>
      <c r="G87" s="20">
        <v>911200</v>
      </c>
      <c r="H87" s="20">
        <v>847800</v>
      </c>
      <c r="I87" s="20">
        <f t="shared" ref="I87:Q87" si="158">I88+I112</f>
        <v>861500</v>
      </c>
      <c r="J87" s="20">
        <f t="shared" si="158"/>
        <v>0</v>
      </c>
      <c r="K87" s="20">
        <f t="shared" si="158"/>
        <v>964222.31</v>
      </c>
      <c r="L87" s="20">
        <f t="shared" si="158"/>
        <v>392581.86999999994</v>
      </c>
      <c r="M87" s="20">
        <f t="shared" si="158"/>
        <v>395367.81999999995</v>
      </c>
      <c r="N87" s="20">
        <f t="shared" si="158"/>
        <v>823991.05720000004</v>
      </c>
      <c r="O87" s="20">
        <f t="shared" si="158"/>
        <v>934693.82793599996</v>
      </c>
      <c r="P87" s="20">
        <f t="shared" si="158"/>
        <v>-7507.9428000000189</v>
      </c>
      <c r="Q87" s="20">
        <f t="shared" si="158"/>
        <v>678232.72</v>
      </c>
      <c r="R87" s="20"/>
      <c r="S87" s="20">
        <f>S88+S112</f>
        <v>903736.60375999997</v>
      </c>
      <c r="T87" s="20">
        <f t="shared" si="90"/>
        <v>42236.603759999969</v>
      </c>
      <c r="U87" s="21">
        <f t="shared" si="91"/>
        <v>-60485.706240000087</v>
      </c>
      <c r="V87" s="20">
        <f t="shared" si="92"/>
        <v>-30957.224175999989</v>
      </c>
      <c r="W87" s="22"/>
      <c r="X87" s="23">
        <f>X88+X112</f>
        <v>980988.9964242425</v>
      </c>
      <c r="Y87" s="24">
        <f t="shared" si="93"/>
        <v>77252.392664242536</v>
      </c>
      <c r="Z87" s="25">
        <f t="shared" ref="Z87:AL87" si="159">Z88+Z112</f>
        <v>943016</v>
      </c>
      <c r="AA87" s="25">
        <f t="shared" si="159"/>
        <v>81516</v>
      </c>
      <c r="AB87" s="25">
        <f t="shared" si="159"/>
        <v>39279.396239999995</v>
      </c>
      <c r="AC87" s="25">
        <f t="shared" si="159"/>
        <v>0</v>
      </c>
      <c r="AD87" s="25">
        <f t="shared" si="159"/>
        <v>24931.371453333333</v>
      </c>
      <c r="AE87" s="25">
        <f t="shared" si="159"/>
        <v>77564</v>
      </c>
      <c r="AF87" s="25">
        <f t="shared" si="159"/>
        <v>0</v>
      </c>
      <c r="AG87" s="25">
        <f t="shared" si="159"/>
        <v>0</v>
      </c>
      <c r="AH87" s="25">
        <f t="shared" si="159"/>
        <v>979632.04098802397</v>
      </c>
      <c r="AI87" s="25">
        <f t="shared" si="159"/>
        <v>1057461.431952381</v>
      </c>
      <c r="AJ87" s="25">
        <f t="shared" si="159"/>
        <v>36616.040988023939</v>
      </c>
      <c r="AK87" s="26">
        <f t="shared" si="159"/>
        <v>1066117.3590240001</v>
      </c>
      <c r="AL87" s="25">
        <f t="shared" si="159"/>
        <v>1058414.4465429566</v>
      </c>
      <c r="AM87" s="27">
        <f t="shared" si="116"/>
        <v>953.01459057559259</v>
      </c>
      <c r="AN87" s="28">
        <f t="shared" si="117"/>
        <v>115398.44654295663</v>
      </c>
      <c r="AO87" s="50">
        <f t="shared" si="118"/>
        <v>114445.43195238104</v>
      </c>
      <c r="AQ87" s="25"/>
      <c r="AR87" s="25"/>
      <c r="AS87" s="25"/>
      <c r="AT87" s="26">
        <f t="shared" ref="AT87:BP87" si="160">AT88+AT112</f>
        <v>1042189.3621428445</v>
      </c>
      <c r="AU87" s="25">
        <f t="shared" si="160"/>
        <v>1049021.78</v>
      </c>
      <c r="AV87" s="25">
        <f t="shared" si="160"/>
        <v>1043200</v>
      </c>
      <c r="AW87" s="25">
        <f t="shared" si="160"/>
        <v>100184</v>
      </c>
      <c r="AX87" s="25">
        <f t="shared" si="160"/>
        <v>99173.362142844475</v>
      </c>
      <c r="AY87" s="25">
        <f t="shared" si="160"/>
        <v>-16225.08440011204</v>
      </c>
      <c r="AZ87" s="25">
        <f t="shared" si="160"/>
        <v>0</v>
      </c>
      <c r="BA87" s="25">
        <f t="shared" si="160"/>
        <v>0</v>
      </c>
      <c r="BB87" s="25">
        <f t="shared" si="160"/>
        <v>0</v>
      </c>
      <c r="BC87" s="25">
        <f t="shared" si="160"/>
        <v>0</v>
      </c>
      <c r="BD87" s="25">
        <f t="shared" si="160"/>
        <v>0</v>
      </c>
      <c r="BE87" s="25">
        <f t="shared" si="160"/>
        <v>1035830.86</v>
      </c>
      <c r="BF87" s="25">
        <f t="shared" si="160"/>
        <v>1115631.6104285712</v>
      </c>
      <c r="BG87" s="25">
        <f t="shared" si="160"/>
        <v>-7369.140000000014</v>
      </c>
      <c r="BH87" s="25">
        <f t="shared" si="160"/>
        <v>1106144.7674462982</v>
      </c>
      <c r="BI87" s="25">
        <f t="shared" si="160"/>
        <v>72431.610428571366</v>
      </c>
      <c r="BJ87" s="25">
        <f t="shared" si="160"/>
        <v>66609.830428571324</v>
      </c>
      <c r="BK87" s="25">
        <f t="shared" si="160"/>
        <v>1101006.2108218183</v>
      </c>
      <c r="BL87" s="25">
        <f t="shared" si="160"/>
        <v>-5138.5566244800202</v>
      </c>
      <c r="BM87" s="25">
        <f t="shared" si="160"/>
        <v>57806.210821818189</v>
      </c>
      <c r="BN87" s="25" t="e">
        <f t="shared" si="160"/>
        <v>#VALUE!</v>
      </c>
      <c r="BO87" s="25" t="e">
        <f t="shared" si="160"/>
        <v>#VALUE!</v>
      </c>
      <c r="BP87" s="25">
        <f t="shared" si="160"/>
        <v>1137953.05</v>
      </c>
      <c r="BQ87" s="31">
        <f t="shared" si="119"/>
        <v>36946.839178181719</v>
      </c>
      <c r="BR87" s="31">
        <f t="shared" si="120"/>
        <v>94753.050000000047</v>
      </c>
      <c r="BS87" s="32"/>
      <c r="BT87" s="32"/>
      <c r="BU87" s="33"/>
      <c r="BV87" s="34">
        <f t="shared" si="121"/>
        <v>62944.767446298152</v>
      </c>
      <c r="BY87" s="36"/>
      <c r="BZ87" s="36"/>
      <c r="CC87" s="37"/>
      <c r="CD87" s="25">
        <f>CD88+CD112</f>
        <v>1049021.78</v>
      </c>
    </row>
    <row r="88" spans="1:82" s="35" customFormat="1" ht="18" customHeight="1" x14ac:dyDescent="0.25">
      <c r="A88" s="38" t="s">
        <v>58</v>
      </c>
      <c r="B88" s="39"/>
      <c r="C88" s="93"/>
      <c r="D88" s="93" t="s">
        <v>296</v>
      </c>
      <c r="E88" s="103"/>
      <c r="F88" s="104"/>
      <c r="G88" s="46">
        <v>936000</v>
      </c>
      <c r="H88" s="46">
        <v>847800</v>
      </c>
      <c r="I88" s="46">
        <f t="shared" ref="I88:Q88" si="161">I89+I97+I104</f>
        <v>861500</v>
      </c>
      <c r="J88" s="46">
        <f t="shared" si="161"/>
        <v>0</v>
      </c>
      <c r="K88" s="46">
        <f t="shared" si="161"/>
        <v>930363.54</v>
      </c>
      <c r="L88" s="46">
        <f t="shared" si="161"/>
        <v>392581.86999999994</v>
      </c>
      <c r="M88" s="46">
        <f t="shared" si="161"/>
        <v>395367.81999999995</v>
      </c>
      <c r="N88" s="46">
        <f t="shared" si="161"/>
        <v>823991.05720000004</v>
      </c>
      <c r="O88" s="46">
        <f t="shared" si="161"/>
        <v>904693.82793599996</v>
      </c>
      <c r="P88" s="46">
        <f t="shared" si="161"/>
        <v>-37508.942800000019</v>
      </c>
      <c r="Q88" s="46">
        <f t="shared" si="161"/>
        <v>648230.72</v>
      </c>
      <c r="R88" s="46"/>
      <c r="S88" s="46">
        <f>S89+S97+S104</f>
        <v>893759.80375999992</v>
      </c>
      <c r="T88" s="46">
        <f t="shared" si="90"/>
        <v>32259.803759999922</v>
      </c>
      <c r="U88" s="21">
        <f t="shared" si="91"/>
        <v>-36603.736240000115</v>
      </c>
      <c r="V88" s="46">
        <f t="shared" si="92"/>
        <v>-10934.024176000035</v>
      </c>
      <c r="W88" s="47"/>
      <c r="X88" s="23">
        <f>X89+X97+X104</f>
        <v>971012.19642424246</v>
      </c>
      <c r="Y88" s="24">
        <f t="shared" si="93"/>
        <v>77252.392664242536</v>
      </c>
      <c r="Z88" s="48">
        <f t="shared" ref="Z88:AL88" si="162">Z89+Z97+Z104</f>
        <v>933870</v>
      </c>
      <c r="AA88" s="48">
        <f t="shared" si="162"/>
        <v>72370</v>
      </c>
      <c r="AB88" s="48">
        <f t="shared" si="162"/>
        <v>40110.196239999997</v>
      </c>
      <c r="AC88" s="48">
        <f t="shared" si="162"/>
        <v>0</v>
      </c>
      <c r="AD88" s="48">
        <f t="shared" si="162"/>
        <v>24931.371453333333</v>
      </c>
      <c r="AE88" s="48">
        <f t="shared" si="162"/>
        <v>77564</v>
      </c>
      <c r="AF88" s="48">
        <f t="shared" si="162"/>
        <v>0</v>
      </c>
      <c r="AG88" s="48">
        <f t="shared" si="162"/>
        <v>0</v>
      </c>
      <c r="AH88" s="48">
        <f t="shared" si="162"/>
        <v>970486.63098802394</v>
      </c>
      <c r="AI88" s="48">
        <f t="shared" si="162"/>
        <v>1048315.431952381</v>
      </c>
      <c r="AJ88" s="48">
        <f t="shared" si="162"/>
        <v>36616.630988023942</v>
      </c>
      <c r="AK88" s="49">
        <f t="shared" si="162"/>
        <v>1056971.3590240001</v>
      </c>
      <c r="AL88" s="48">
        <f t="shared" si="162"/>
        <v>1049268.4465429566</v>
      </c>
      <c r="AM88" s="27">
        <f t="shared" si="116"/>
        <v>953.01459057559259</v>
      </c>
      <c r="AN88" s="28">
        <f t="shared" si="117"/>
        <v>115398.44654295663</v>
      </c>
      <c r="AO88" s="50">
        <f t="shared" si="118"/>
        <v>114445.43195238104</v>
      </c>
      <c r="AQ88" s="48"/>
      <c r="AR88" s="48"/>
      <c r="AS88" s="48"/>
      <c r="AT88" s="49">
        <f t="shared" ref="AT88:BP88" si="163">AT89+AT97+AT104</f>
        <v>1033025.3621428445</v>
      </c>
      <c r="AU88" s="48">
        <f t="shared" si="163"/>
        <v>1052229.3900000001</v>
      </c>
      <c r="AV88" s="48">
        <f t="shared" si="163"/>
        <v>1034000</v>
      </c>
      <c r="AW88" s="48">
        <f t="shared" si="163"/>
        <v>100130</v>
      </c>
      <c r="AX88" s="48">
        <f t="shared" si="163"/>
        <v>99155.362142844475</v>
      </c>
      <c r="AY88" s="48">
        <f t="shared" si="163"/>
        <v>-16243.08440011204</v>
      </c>
      <c r="AZ88" s="48">
        <f t="shared" si="163"/>
        <v>0</v>
      </c>
      <c r="BA88" s="48">
        <f t="shared" si="163"/>
        <v>0</v>
      </c>
      <c r="BB88" s="48">
        <f t="shared" si="163"/>
        <v>0</v>
      </c>
      <c r="BC88" s="48">
        <f t="shared" si="163"/>
        <v>0</v>
      </c>
      <c r="BD88" s="48">
        <f t="shared" si="163"/>
        <v>0</v>
      </c>
      <c r="BE88" s="48">
        <f t="shared" si="163"/>
        <v>1026630.86</v>
      </c>
      <c r="BF88" s="48">
        <f t="shared" si="163"/>
        <v>1106431.6104285712</v>
      </c>
      <c r="BG88" s="48">
        <f t="shared" si="163"/>
        <v>-7369.140000000014</v>
      </c>
      <c r="BH88" s="48">
        <f t="shared" si="163"/>
        <v>1096944.7674462982</v>
      </c>
      <c r="BI88" s="48">
        <f t="shared" si="163"/>
        <v>72431.610428571366</v>
      </c>
      <c r="BJ88" s="48">
        <f t="shared" si="163"/>
        <v>54202.220428571323</v>
      </c>
      <c r="BK88" s="48">
        <f t="shared" si="163"/>
        <v>1091806.2108218183</v>
      </c>
      <c r="BL88" s="48">
        <f t="shared" si="163"/>
        <v>-5138.5566244800202</v>
      </c>
      <c r="BM88" s="48">
        <f t="shared" si="163"/>
        <v>57806.210821818189</v>
      </c>
      <c r="BN88" s="48">
        <f t="shared" si="163"/>
        <v>0</v>
      </c>
      <c r="BO88" s="48">
        <f t="shared" si="163"/>
        <v>0</v>
      </c>
      <c r="BP88" s="48">
        <f t="shared" si="163"/>
        <v>1091836.57</v>
      </c>
      <c r="BQ88" s="31">
        <f t="shared" si="119"/>
        <v>30.359178181737661</v>
      </c>
      <c r="BR88" s="31">
        <f t="shared" si="120"/>
        <v>57836.570000000065</v>
      </c>
      <c r="BS88" s="32"/>
      <c r="BT88" s="32"/>
      <c r="BU88" s="33"/>
      <c r="BV88" s="34">
        <f t="shared" si="121"/>
        <v>62944.767446298152</v>
      </c>
      <c r="BY88" s="36"/>
      <c r="BZ88" s="36"/>
      <c r="CC88" s="37"/>
      <c r="CD88" s="48">
        <f>CD89+CD97+CD104</f>
        <v>1052229.3900000001</v>
      </c>
    </row>
    <row r="89" spans="1:82" s="63" customFormat="1" ht="18" customHeight="1" x14ac:dyDescent="0.25">
      <c r="A89" s="96" t="s">
        <v>58</v>
      </c>
      <c r="B89" s="97"/>
      <c r="C89" s="98"/>
      <c r="D89" s="103"/>
      <c r="E89" s="53" t="s">
        <v>297</v>
      </c>
      <c r="F89" s="54"/>
      <c r="G89" s="55">
        <v>349000</v>
      </c>
      <c r="H89" s="55">
        <v>296200</v>
      </c>
      <c r="I89" s="55">
        <f t="shared" ref="I89:Q89" si="164">SUM(I90:I96)</f>
        <v>301700</v>
      </c>
      <c r="J89" s="55">
        <f t="shared" si="164"/>
        <v>0</v>
      </c>
      <c r="K89" s="55">
        <f t="shared" si="164"/>
        <v>402166.95999999996</v>
      </c>
      <c r="L89" s="55">
        <f t="shared" si="164"/>
        <v>103598.28</v>
      </c>
      <c r="M89" s="55">
        <f t="shared" si="164"/>
        <v>103598.28</v>
      </c>
      <c r="N89" s="55">
        <f t="shared" si="164"/>
        <v>221361.29</v>
      </c>
      <c r="O89" s="55">
        <f t="shared" si="164"/>
        <v>302773.29000000004</v>
      </c>
      <c r="P89" s="55">
        <f t="shared" si="164"/>
        <v>-80338.709999999992</v>
      </c>
      <c r="Q89" s="55">
        <f t="shared" si="164"/>
        <v>208966.21</v>
      </c>
      <c r="R89" s="55"/>
      <c r="S89" s="55">
        <f>SUM(S90:S96)</f>
        <v>301071.76</v>
      </c>
      <c r="T89" s="55">
        <f t="shared" si="90"/>
        <v>-628.23999999999069</v>
      </c>
      <c r="U89" s="56">
        <f t="shared" si="91"/>
        <v>-101095.19999999995</v>
      </c>
      <c r="V89" s="55">
        <f t="shared" si="92"/>
        <v>-1701.5300000000279</v>
      </c>
      <c r="W89" s="57"/>
      <c r="X89" s="58">
        <f>SUM(X90:X96)</f>
        <v>371196.70642424241</v>
      </c>
      <c r="Y89" s="59">
        <f t="shared" si="93"/>
        <v>70124.9464242424</v>
      </c>
      <c r="Z89" s="33">
        <f t="shared" ref="Z89:AL89" si="165">SUM(Z90:Z96)</f>
        <v>292733</v>
      </c>
      <c r="AA89" s="33">
        <f t="shared" si="165"/>
        <v>-8967</v>
      </c>
      <c r="AB89" s="33">
        <f t="shared" si="165"/>
        <v>-8338.7600000000039</v>
      </c>
      <c r="AC89" s="33">
        <f t="shared" si="165"/>
        <v>0</v>
      </c>
      <c r="AD89" s="33">
        <f t="shared" si="165"/>
        <v>706.89333333333252</v>
      </c>
      <c r="AE89" s="33">
        <f t="shared" si="165"/>
        <v>0</v>
      </c>
      <c r="AF89" s="33">
        <f t="shared" si="165"/>
        <v>0</v>
      </c>
      <c r="AG89" s="33">
        <f t="shared" si="165"/>
        <v>0</v>
      </c>
      <c r="AH89" s="33">
        <f t="shared" si="165"/>
        <v>292733</v>
      </c>
      <c r="AI89" s="33">
        <f t="shared" si="165"/>
        <v>350703.13523809524</v>
      </c>
      <c r="AJ89" s="33">
        <f t="shared" si="165"/>
        <v>0</v>
      </c>
      <c r="AK89" s="60">
        <f t="shared" si="165"/>
        <v>362437.29755733337</v>
      </c>
      <c r="AL89" s="33">
        <f t="shared" si="165"/>
        <v>358797.90683386562</v>
      </c>
      <c r="AM89" s="27">
        <f t="shared" si="116"/>
        <v>8094.7715957703767</v>
      </c>
      <c r="AN89" s="61">
        <f t="shared" si="117"/>
        <v>66064.906833865622</v>
      </c>
      <c r="AO89" s="62">
        <f t="shared" si="118"/>
        <v>57970.135238095245</v>
      </c>
      <c r="AQ89" s="33"/>
      <c r="AR89" s="33"/>
      <c r="AS89" s="33"/>
      <c r="AT89" s="60">
        <f t="shared" ref="AT89:BP89" si="166">SUM(AT90:AT96)</f>
        <v>312968.95649104449</v>
      </c>
      <c r="AU89" s="33">
        <f t="shared" si="166"/>
        <v>362414.07</v>
      </c>
      <c r="AV89" s="33">
        <f t="shared" si="166"/>
        <v>313200</v>
      </c>
      <c r="AW89" s="33">
        <f t="shared" si="166"/>
        <v>20467</v>
      </c>
      <c r="AX89" s="33">
        <f t="shared" si="166"/>
        <v>20235.956491044515</v>
      </c>
      <c r="AY89" s="33">
        <f t="shared" si="166"/>
        <v>-45828.950342821096</v>
      </c>
      <c r="AZ89" s="33">
        <f t="shared" si="166"/>
        <v>0</v>
      </c>
      <c r="BA89" s="33">
        <f t="shared" si="166"/>
        <v>0</v>
      </c>
      <c r="BB89" s="33">
        <f t="shared" si="166"/>
        <v>0</v>
      </c>
      <c r="BC89" s="33">
        <f t="shared" si="166"/>
        <v>0</v>
      </c>
      <c r="BD89" s="33">
        <f t="shared" si="166"/>
        <v>0</v>
      </c>
      <c r="BE89" s="33">
        <f t="shared" si="166"/>
        <v>313200</v>
      </c>
      <c r="BF89" s="33">
        <f t="shared" si="166"/>
        <v>369440.01999999996</v>
      </c>
      <c r="BG89" s="33">
        <f t="shared" si="166"/>
        <v>0</v>
      </c>
      <c r="BH89" s="33">
        <f t="shared" si="166"/>
        <v>368207.1933333333</v>
      </c>
      <c r="BI89" s="33">
        <f t="shared" si="166"/>
        <v>56240.01999999999</v>
      </c>
      <c r="BJ89" s="33">
        <f t="shared" si="166"/>
        <v>7025.9499999999962</v>
      </c>
      <c r="BK89" s="33">
        <f t="shared" si="166"/>
        <v>361407.97784000001</v>
      </c>
      <c r="BL89" s="33">
        <f t="shared" si="166"/>
        <v>-6799.215493333324</v>
      </c>
      <c r="BM89" s="33">
        <f t="shared" si="166"/>
        <v>48207.97784</v>
      </c>
      <c r="BN89" s="33">
        <f t="shared" si="166"/>
        <v>0</v>
      </c>
      <c r="BO89" s="33">
        <f t="shared" si="166"/>
        <v>0</v>
      </c>
      <c r="BP89" s="33">
        <f t="shared" si="166"/>
        <v>354005.87</v>
      </c>
      <c r="BQ89" s="31">
        <f t="shared" si="119"/>
        <v>-7402.1078400000115</v>
      </c>
      <c r="BR89" s="31">
        <f t="shared" si="120"/>
        <v>40805.869999999995</v>
      </c>
      <c r="BS89" s="32"/>
      <c r="BT89" s="32"/>
      <c r="BU89" s="33"/>
      <c r="BV89" s="34">
        <f t="shared" si="121"/>
        <v>55007.1933333333</v>
      </c>
      <c r="BY89" s="64"/>
      <c r="BZ89" s="64"/>
      <c r="CC89" s="37"/>
      <c r="CD89" s="33">
        <f>SUM(CD90:CD96)</f>
        <v>362414.07</v>
      </c>
    </row>
    <row r="90" spans="1:82" s="77" customFormat="1" ht="18" customHeight="1" x14ac:dyDescent="0.25">
      <c r="A90" s="99" t="s">
        <v>58</v>
      </c>
      <c r="B90" s="100"/>
      <c r="C90" s="101"/>
      <c r="D90" s="93"/>
      <c r="E90" s="53"/>
      <c r="F90" s="68" t="s">
        <v>298</v>
      </c>
      <c r="G90" s="106">
        <v>15200</v>
      </c>
      <c r="H90" s="106">
        <v>16500</v>
      </c>
      <c r="I90" s="106">
        <v>17500</v>
      </c>
      <c r="J90" s="70" t="s">
        <v>299</v>
      </c>
      <c r="K90" s="106">
        <v>15649.93</v>
      </c>
      <c r="L90" s="106">
        <v>11040.72</v>
      </c>
      <c r="M90" s="106">
        <f t="shared" ref="M90:M96" si="167">L90</f>
        <v>11040.72</v>
      </c>
      <c r="N90" s="106">
        <f>M90*2</f>
        <v>22081.439999999999</v>
      </c>
      <c r="O90" s="106">
        <f>N90</f>
        <v>22081.439999999999</v>
      </c>
      <c r="P90" s="106">
        <f t="shared" ref="P90:P96" si="168">N90-I90</f>
        <v>4581.4399999999987</v>
      </c>
      <c r="Q90" s="106">
        <v>15206.66</v>
      </c>
      <c r="R90" s="106"/>
      <c r="S90" s="106">
        <f>Q90/9*12</f>
        <v>20275.546666666669</v>
      </c>
      <c r="T90" s="106">
        <f t="shared" si="90"/>
        <v>2775.5466666666689</v>
      </c>
      <c r="U90" s="107">
        <f t="shared" si="91"/>
        <v>4625.6166666666686</v>
      </c>
      <c r="V90" s="106">
        <f t="shared" si="92"/>
        <v>-1805.8933333333298</v>
      </c>
      <c r="W90" s="108"/>
      <c r="X90" s="109">
        <f>18756.77/11*12</f>
        <v>20461.930909090908</v>
      </c>
      <c r="Y90" s="24">
        <f t="shared" si="93"/>
        <v>186.38424242423935</v>
      </c>
      <c r="Z90" s="85">
        <v>17500</v>
      </c>
      <c r="AA90" s="29">
        <f t="shared" ref="AA90:AA96" si="169">Z90-I90</f>
        <v>0</v>
      </c>
      <c r="AB90" s="29">
        <f t="shared" ref="AB90:AB96" si="170">Z90-S90</f>
        <v>-2775.5466666666689</v>
      </c>
      <c r="AC90" s="72"/>
      <c r="AD90" s="72"/>
      <c r="AE90" s="72"/>
      <c r="AF90" s="72"/>
      <c r="AG90" s="72"/>
      <c r="AH90" s="85">
        <f t="shared" ref="AH90:AH96" si="171">Z90</f>
        <v>17500</v>
      </c>
      <c r="AI90" s="85">
        <f>9205.27/7*12</f>
        <v>15780.462857142858</v>
      </c>
      <c r="AJ90" s="85">
        <f t="shared" ref="AJ90:AJ96" si="172">AH90-Z90</f>
        <v>0</v>
      </c>
      <c r="AK90" s="86">
        <v>15916.800000000001</v>
      </c>
      <c r="AL90" s="123">
        <f>14025.29/11*12</f>
        <v>15300.316363636364</v>
      </c>
      <c r="AM90" s="27">
        <f t="shared" si="116"/>
        <v>-480.14649350649415</v>
      </c>
      <c r="AN90" s="61">
        <f t="shared" si="117"/>
        <v>-2199.6836363636357</v>
      </c>
      <c r="AO90" s="62">
        <f t="shared" si="118"/>
        <v>-1719.5371428571416</v>
      </c>
      <c r="AQ90" s="71" t="s">
        <v>106</v>
      </c>
      <c r="AR90" s="71" t="s">
        <v>107</v>
      </c>
      <c r="AS90" s="71" t="s">
        <v>106</v>
      </c>
      <c r="AT90" s="86">
        <f>AL90*102.3%</f>
        <v>15652.22364</v>
      </c>
      <c r="AU90" s="71">
        <v>15071.91</v>
      </c>
      <c r="AV90" s="71">
        <f t="shared" ref="AV90:AV95" si="173">CEILING(AT90,100)</f>
        <v>15700</v>
      </c>
      <c r="AW90" s="71">
        <f t="shared" ref="AW90:AW96" si="174">AV90-Z90</f>
        <v>-1800</v>
      </c>
      <c r="AX90" s="76">
        <f t="shared" ref="AX90:AX96" si="175">AT90-Z90</f>
        <v>-1847.7763599999998</v>
      </c>
      <c r="AY90" s="76">
        <f t="shared" ref="AY90:AY96" si="176">AT90-AL90</f>
        <v>351.9072763636359</v>
      </c>
      <c r="AZ90" s="145" t="s">
        <v>300</v>
      </c>
      <c r="BE90" s="71">
        <v>15700</v>
      </c>
      <c r="BF90" s="71">
        <f>9830.45/7*12</f>
        <v>16852.2</v>
      </c>
      <c r="BG90" s="78">
        <f t="shared" ref="BG90:BG96" si="177">BE90-AV90</f>
        <v>0</v>
      </c>
      <c r="BH90" s="71">
        <v>15619.373333333333</v>
      </c>
      <c r="BI90" s="33">
        <f t="shared" ref="BI90:BI96" si="178">BF90-AV90</f>
        <v>1152.2000000000007</v>
      </c>
      <c r="BJ90" s="33">
        <f t="shared" ref="BJ90:BJ96" si="179">BF90-AU90</f>
        <v>1780.2900000000009</v>
      </c>
      <c r="BK90" s="71">
        <v>15026.83</v>
      </c>
      <c r="BL90" s="79">
        <f t="shared" ref="BL90:BL96" si="180">BK90-BH90</f>
        <v>-592.54333333333307</v>
      </c>
      <c r="BM90" s="79">
        <f t="shared" ref="BM90:BM96" si="181">BK90-AV90</f>
        <v>-673.17000000000007</v>
      </c>
      <c r="BN90" s="87" t="s">
        <v>108</v>
      </c>
      <c r="BO90" s="91" t="s">
        <v>109</v>
      </c>
      <c r="BP90" s="71">
        <v>14565.61</v>
      </c>
      <c r="BQ90" s="32">
        <f t="shared" si="119"/>
        <v>-461.21999999999935</v>
      </c>
      <c r="BR90" s="32">
        <f t="shared" si="120"/>
        <v>-1134.3899999999994</v>
      </c>
      <c r="BS90" s="92"/>
      <c r="BT90" s="87" t="s">
        <v>110</v>
      </c>
      <c r="BU90" s="33"/>
      <c r="BV90" s="34">
        <f t="shared" si="121"/>
        <v>-80.626666666667006</v>
      </c>
      <c r="BY90" s="82"/>
      <c r="BZ90" s="82"/>
      <c r="CC90" s="37"/>
      <c r="CD90" s="71">
        <v>15071.91</v>
      </c>
    </row>
    <row r="91" spans="1:82" s="77" customFormat="1" ht="18" customHeight="1" x14ac:dyDescent="0.25">
      <c r="A91" s="99" t="s">
        <v>58</v>
      </c>
      <c r="B91" s="100"/>
      <c r="C91" s="101"/>
      <c r="D91" s="93"/>
      <c r="E91" s="53"/>
      <c r="F91" s="68" t="s">
        <v>301</v>
      </c>
      <c r="G91" s="106">
        <v>73600</v>
      </c>
      <c r="H91" s="106">
        <v>79800</v>
      </c>
      <c r="I91" s="106">
        <v>83200</v>
      </c>
      <c r="J91" s="70" t="s">
        <v>302</v>
      </c>
      <c r="K91" s="106">
        <v>72000.600000000006</v>
      </c>
      <c r="L91" s="106">
        <v>34002.19</v>
      </c>
      <c r="M91" s="106">
        <f t="shared" si="167"/>
        <v>34002.19</v>
      </c>
      <c r="N91" s="106">
        <f>I91</f>
        <v>83200</v>
      </c>
      <c r="O91" s="106">
        <f>I91</f>
        <v>83200</v>
      </c>
      <c r="P91" s="106">
        <f t="shared" si="168"/>
        <v>0</v>
      </c>
      <c r="Q91" s="106">
        <v>52135.39</v>
      </c>
      <c r="R91" s="106"/>
      <c r="S91" s="106">
        <f>O91</f>
        <v>83200</v>
      </c>
      <c r="T91" s="106">
        <f t="shared" si="90"/>
        <v>0</v>
      </c>
      <c r="U91" s="107">
        <f t="shared" si="91"/>
        <v>11199.399999999994</v>
      </c>
      <c r="V91" s="106">
        <f t="shared" si="92"/>
        <v>0</v>
      </c>
      <c r="W91" s="108"/>
      <c r="X91" s="109">
        <f>69322.72/10*12</f>
        <v>83187.263999999996</v>
      </c>
      <c r="Y91" s="24">
        <f t="shared" si="93"/>
        <v>-12.736000000004424</v>
      </c>
      <c r="Z91" s="85">
        <v>76223</v>
      </c>
      <c r="AA91" s="29">
        <f t="shared" si="169"/>
        <v>-6977</v>
      </c>
      <c r="AB91" s="29">
        <f t="shared" si="170"/>
        <v>-6977</v>
      </c>
      <c r="AC91" s="72" t="s">
        <v>303</v>
      </c>
      <c r="AD91" s="72"/>
      <c r="AE91" s="72"/>
      <c r="AF91" s="72"/>
      <c r="AG91" s="72"/>
      <c r="AH91" s="85">
        <f t="shared" si="171"/>
        <v>76223</v>
      </c>
      <c r="AI91" s="85">
        <f>(52612.48+670+7200)/9*12</f>
        <v>80643.306666666671</v>
      </c>
      <c r="AJ91" s="85">
        <f t="shared" si="172"/>
        <v>0</v>
      </c>
      <c r="AK91" s="86">
        <v>91259.901024000006</v>
      </c>
      <c r="AL91" s="123">
        <f>84854.32+((201*((1.1466-0.999)*1.04)*(31+30+31+30+31+31+30)))+5453.25+222.3</f>
        <v>97132.691056000011</v>
      </c>
      <c r="AM91" s="27">
        <f t="shared" si="116"/>
        <v>16489.38438933334</v>
      </c>
      <c r="AN91" s="61">
        <f t="shared" si="117"/>
        <v>20909.691056000011</v>
      </c>
      <c r="AO91" s="62">
        <f t="shared" si="118"/>
        <v>4420.3066666666709</v>
      </c>
      <c r="AQ91" s="90" t="s">
        <v>256</v>
      </c>
      <c r="AR91" s="90" t="s">
        <v>304</v>
      </c>
      <c r="AS91" s="90" t="s">
        <v>256</v>
      </c>
      <c r="AT91" s="86">
        <f>AL91*102.3%</f>
        <v>99366.742950287997</v>
      </c>
      <c r="AU91" s="71">
        <v>98812.96</v>
      </c>
      <c r="AV91" s="71">
        <f t="shared" si="173"/>
        <v>99400</v>
      </c>
      <c r="AW91" s="71">
        <f t="shared" si="174"/>
        <v>23177</v>
      </c>
      <c r="AX91" s="76">
        <f t="shared" si="175"/>
        <v>23143.742950287997</v>
      </c>
      <c r="AY91" s="76">
        <f t="shared" si="176"/>
        <v>2234.0518942879862</v>
      </c>
      <c r="AZ91" s="145" t="s">
        <v>300</v>
      </c>
      <c r="BE91" s="71">
        <v>99400</v>
      </c>
      <c r="BF91" s="71">
        <v>109000</v>
      </c>
      <c r="BG91" s="78">
        <f t="shared" si="177"/>
        <v>0</v>
      </c>
      <c r="BH91" s="71">
        <f t="shared" ref="BH91:BH96" si="182">BF91</f>
        <v>109000</v>
      </c>
      <c r="BI91" s="33">
        <f t="shared" si="178"/>
        <v>9600</v>
      </c>
      <c r="BJ91" s="33">
        <f t="shared" si="179"/>
        <v>10187.039999999994</v>
      </c>
      <c r="BK91" s="71">
        <v>107348.58784000001</v>
      </c>
      <c r="BL91" s="79">
        <f t="shared" si="180"/>
        <v>-1651.4121599999926</v>
      </c>
      <c r="BM91" s="79">
        <f t="shared" si="181"/>
        <v>7948.5878400000074</v>
      </c>
      <c r="BN91" s="87" t="s">
        <v>305</v>
      </c>
      <c r="BO91" s="87" t="s">
        <v>305</v>
      </c>
      <c r="BP91" s="71">
        <v>103383.26</v>
      </c>
      <c r="BQ91" s="32">
        <f t="shared" si="119"/>
        <v>-3965.3278400000127</v>
      </c>
      <c r="BR91" s="32">
        <f t="shared" si="120"/>
        <v>3983.2599999999948</v>
      </c>
      <c r="BS91" s="91" t="s">
        <v>306</v>
      </c>
      <c r="BT91" s="87" t="s">
        <v>305</v>
      </c>
      <c r="BU91" s="33"/>
      <c r="BV91" s="34">
        <f t="shared" si="121"/>
        <v>9600</v>
      </c>
      <c r="BY91" s="82"/>
      <c r="BZ91" s="82"/>
      <c r="CC91" s="37"/>
      <c r="CD91" s="71">
        <v>98812.96</v>
      </c>
    </row>
    <row r="92" spans="1:82" s="77" customFormat="1" ht="18" customHeight="1" x14ac:dyDescent="0.25">
      <c r="A92" s="99" t="s">
        <v>58</v>
      </c>
      <c r="B92" s="100"/>
      <c r="C92" s="101"/>
      <c r="D92" s="93"/>
      <c r="E92" s="53"/>
      <c r="F92" s="68" t="s">
        <v>307</v>
      </c>
      <c r="G92" s="83">
        <v>43800</v>
      </c>
      <c r="H92" s="83">
        <v>31500</v>
      </c>
      <c r="I92" s="83">
        <v>36800</v>
      </c>
      <c r="J92" s="70" t="s">
        <v>308</v>
      </c>
      <c r="K92" s="83">
        <v>25685.01</v>
      </c>
      <c r="L92" s="83">
        <v>16630.48</v>
      </c>
      <c r="M92" s="83">
        <f t="shared" si="167"/>
        <v>16630.48</v>
      </c>
      <c r="N92" s="83">
        <f>M92*2</f>
        <v>33260.959999999999</v>
      </c>
      <c r="O92" s="83">
        <f>N92</f>
        <v>33260.959999999999</v>
      </c>
      <c r="P92" s="83">
        <f t="shared" si="168"/>
        <v>-3539.0400000000009</v>
      </c>
      <c r="Q92" s="83">
        <v>24242.23</v>
      </c>
      <c r="R92" s="83"/>
      <c r="S92" s="83">
        <f>Q92/9*12</f>
        <v>32322.973333333335</v>
      </c>
      <c r="T92" s="83">
        <f t="shared" si="90"/>
        <v>-4477.0266666666648</v>
      </c>
      <c r="U92" s="83">
        <f t="shared" si="91"/>
        <v>6637.9633333333368</v>
      </c>
      <c r="V92" s="83">
        <f t="shared" si="92"/>
        <v>-937.98666666666395</v>
      </c>
      <c r="W92" s="84"/>
      <c r="X92" s="83">
        <f>29503/11*12</f>
        <v>32185.090909090908</v>
      </c>
      <c r="Y92" s="47">
        <f t="shared" si="93"/>
        <v>-137.88242424242708</v>
      </c>
      <c r="Z92" s="85">
        <v>34116</v>
      </c>
      <c r="AA92" s="29">
        <f t="shared" si="169"/>
        <v>-2684</v>
      </c>
      <c r="AB92" s="29">
        <f t="shared" si="170"/>
        <v>1793.0266666666648</v>
      </c>
      <c r="AC92" s="72" t="s">
        <v>309</v>
      </c>
      <c r="AD92" s="72">
        <f>AB92/2</f>
        <v>896.51333333333241</v>
      </c>
      <c r="AE92" s="72"/>
      <c r="AF92" s="72"/>
      <c r="AG92" s="72"/>
      <c r="AH92" s="85">
        <f t="shared" si="171"/>
        <v>34116</v>
      </c>
      <c r="AI92" s="85">
        <v>30200</v>
      </c>
      <c r="AJ92" s="85">
        <f t="shared" si="172"/>
        <v>0</v>
      </c>
      <c r="AK92" s="86">
        <v>30383.583200000001</v>
      </c>
      <c r="AL92" s="123">
        <f>29878.54+(1758.48*1.22)+((202.47+162.94)/2*3)</f>
        <v>32572.000600000003</v>
      </c>
      <c r="AM92" s="27">
        <f t="shared" si="116"/>
        <v>2372.000600000003</v>
      </c>
      <c r="AN92" s="61">
        <f t="shared" si="117"/>
        <v>-1543.999399999997</v>
      </c>
      <c r="AO92" s="62">
        <f t="shared" si="118"/>
        <v>-3916</v>
      </c>
      <c r="AQ92" s="71" t="s">
        <v>310</v>
      </c>
      <c r="AR92" s="146" t="s">
        <v>311</v>
      </c>
      <c r="AS92" s="71" t="s">
        <v>310</v>
      </c>
      <c r="AT92" s="86">
        <f>AL92*102.3%</f>
        <v>33321.156613799998</v>
      </c>
      <c r="AU92" s="71">
        <v>32530.09</v>
      </c>
      <c r="AV92" s="71">
        <f t="shared" si="173"/>
        <v>33400</v>
      </c>
      <c r="AW92" s="71">
        <f t="shared" si="174"/>
        <v>-716</v>
      </c>
      <c r="AX92" s="76">
        <f t="shared" si="175"/>
        <v>-794.84338620000199</v>
      </c>
      <c r="AY92" s="76">
        <f t="shared" si="176"/>
        <v>749.15601379999498</v>
      </c>
      <c r="AZ92" s="145" t="s">
        <v>300</v>
      </c>
      <c r="BE92" s="71">
        <v>33400</v>
      </c>
      <c r="BF92" s="71">
        <v>37900</v>
      </c>
      <c r="BG92" s="78">
        <f t="shared" si="177"/>
        <v>0</v>
      </c>
      <c r="BH92" s="71">
        <f t="shared" si="182"/>
        <v>37900</v>
      </c>
      <c r="BI92" s="33">
        <f t="shared" si="178"/>
        <v>4500</v>
      </c>
      <c r="BJ92" s="33">
        <f t="shared" si="179"/>
        <v>5369.91</v>
      </c>
      <c r="BK92" s="71">
        <f>37650.63+500</f>
        <v>38150.629999999997</v>
      </c>
      <c r="BL92" s="79">
        <f t="shared" si="180"/>
        <v>250.62999999999738</v>
      </c>
      <c r="BM92" s="79">
        <f t="shared" si="181"/>
        <v>4750.6299999999974</v>
      </c>
      <c r="BN92" s="87" t="s">
        <v>312</v>
      </c>
      <c r="BO92" s="87" t="s">
        <v>313</v>
      </c>
      <c r="BP92" s="71">
        <v>37650.629999999997</v>
      </c>
      <c r="BQ92" s="32">
        <f t="shared" si="119"/>
        <v>-500</v>
      </c>
      <c r="BR92" s="32">
        <f t="shared" si="120"/>
        <v>4250.6299999999974</v>
      </c>
      <c r="BS92" s="32"/>
      <c r="BT92" s="87" t="s">
        <v>312</v>
      </c>
      <c r="BU92" s="33"/>
      <c r="BV92" s="34">
        <f t="shared" si="121"/>
        <v>4500</v>
      </c>
      <c r="BY92" s="82"/>
      <c r="BZ92" s="82"/>
      <c r="CC92" s="37"/>
      <c r="CD92" s="71">
        <v>32530.09</v>
      </c>
    </row>
    <row r="93" spans="1:82" s="77" customFormat="1" ht="18" customHeight="1" x14ac:dyDescent="0.25">
      <c r="A93" s="99" t="s">
        <v>58</v>
      </c>
      <c r="B93" s="100"/>
      <c r="C93" s="101"/>
      <c r="D93" s="93"/>
      <c r="E93" s="53"/>
      <c r="F93" s="68" t="s">
        <v>314</v>
      </c>
      <c r="G93" s="106">
        <v>4500</v>
      </c>
      <c r="H93" s="106">
        <v>4200</v>
      </c>
      <c r="I93" s="106">
        <v>1000</v>
      </c>
      <c r="J93" s="70" t="s">
        <v>315</v>
      </c>
      <c r="K93" s="106">
        <v>6488.23</v>
      </c>
      <c r="L93" s="106">
        <v>1530.89</v>
      </c>
      <c r="M93" s="106">
        <f t="shared" si="167"/>
        <v>1530.89</v>
      </c>
      <c r="N93" s="106">
        <f>M93+500</f>
        <v>2030.89</v>
      </c>
      <c r="O93" s="106">
        <f>N93</f>
        <v>2030.89</v>
      </c>
      <c r="P93" s="106">
        <f t="shared" si="168"/>
        <v>1030.8900000000001</v>
      </c>
      <c r="Q93" s="106">
        <f>2253.69+51.24</f>
        <v>2304.9299999999998</v>
      </c>
      <c r="R93" s="106"/>
      <c r="S93" s="106">
        <f>Q93/9*12</f>
        <v>3073.24</v>
      </c>
      <c r="T93" s="106">
        <f t="shared" si="90"/>
        <v>2073.2399999999998</v>
      </c>
      <c r="U93" s="107">
        <f t="shared" si="91"/>
        <v>-3414.99</v>
      </c>
      <c r="V93" s="106">
        <f t="shared" si="92"/>
        <v>1042.3499999999997</v>
      </c>
      <c r="W93" s="108"/>
      <c r="X93" s="109">
        <f>2329.33/11*12</f>
        <v>2541.0872727272726</v>
      </c>
      <c r="Y93" s="24">
        <f t="shared" si="93"/>
        <v>-532.15272727272713</v>
      </c>
      <c r="Z93" s="85">
        <v>2694</v>
      </c>
      <c r="AA93" s="29">
        <f t="shared" si="169"/>
        <v>1694</v>
      </c>
      <c r="AB93" s="29">
        <f t="shared" si="170"/>
        <v>-379.23999999999978</v>
      </c>
      <c r="AC93" s="72" t="s">
        <v>309</v>
      </c>
      <c r="AD93" s="72">
        <f>AB93/2</f>
        <v>-189.61999999999989</v>
      </c>
      <c r="AE93" s="72"/>
      <c r="AF93" s="72"/>
      <c r="AG93" s="72"/>
      <c r="AH93" s="85">
        <f t="shared" si="171"/>
        <v>2694</v>
      </c>
      <c r="AI93" s="85">
        <f>115.9/7*12</f>
        <v>198.68571428571428</v>
      </c>
      <c r="AJ93" s="85">
        <f t="shared" si="172"/>
        <v>0</v>
      </c>
      <c r="AK93" s="86">
        <v>996.33333333333326</v>
      </c>
      <c r="AL93" s="123">
        <f>2275.3/11.5*12</f>
        <v>2374.2260869565216</v>
      </c>
      <c r="AM93" s="27">
        <f t="shared" si="116"/>
        <v>2175.5403726708073</v>
      </c>
      <c r="AN93" s="61">
        <f t="shared" si="117"/>
        <v>-319.77391304347839</v>
      </c>
      <c r="AO93" s="62">
        <f t="shared" si="118"/>
        <v>-2495.3142857142857</v>
      </c>
      <c r="AQ93" s="71" t="s">
        <v>106</v>
      </c>
      <c r="AR93" s="71" t="s">
        <v>316</v>
      </c>
      <c r="AS93" s="71" t="s">
        <v>106</v>
      </c>
      <c r="AT93" s="86">
        <f>AL93*102.3%</f>
        <v>2428.8332869565215</v>
      </c>
      <c r="AU93" s="71">
        <v>115.9</v>
      </c>
      <c r="AV93" s="71">
        <f t="shared" si="173"/>
        <v>2500</v>
      </c>
      <c r="AW93" s="71">
        <f t="shared" si="174"/>
        <v>-194</v>
      </c>
      <c r="AX93" s="76">
        <f t="shared" si="175"/>
        <v>-265.16671304347847</v>
      </c>
      <c r="AY93" s="76">
        <f t="shared" si="176"/>
        <v>54.607199999999921</v>
      </c>
      <c r="AZ93" s="145" t="s">
        <v>300</v>
      </c>
      <c r="BE93" s="71">
        <v>2500</v>
      </c>
      <c r="BF93" s="71">
        <f>AV93</f>
        <v>2500</v>
      </c>
      <c r="BG93" s="78">
        <f t="shared" si="177"/>
        <v>0</v>
      </c>
      <c r="BH93" s="71">
        <f t="shared" si="182"/>
        <v>2500</v>
      </c>
      <c r="BI93" s="33">
        <f t="shared" si="178"/>
        <v>0</v>
      </c>
      <c r="BJ93" s="33">
        <f t="shared" si="179"/>
        <v>2384.1</v>
      </c>
      <c r="BK93" s="71">
        <f>263.73+500</f>
        <v>763.73</v>
      </c>
      <c r="BL93" s="79">
        <f t="shared" si="180"/>
        <v>-1736.27</v>
      </c>
      <c r="BM93" s="79">
        <f t="shared" si="181"/>
        <v>-1736.27</v>
      </c>
      <c r="BN93" s="87" t="s">
        <v>271</v>
      </c>
      <c r="BO93" s="87" t="s">
        <v>317</v>
      </c>
      <c r="BP93" s="71">
        <v>263.73</v>
      </c>
      <c r="BQ93" s="32">
        <f t="shared" si="119"/>
        <v>-500</v>
      </c>
      <c r="BR93" s="32">
        <f t="shared" si="120"/>
        <v>-2236.27</v>
      </c>
      <c r="BS93" s="32"/>
      <c r="BT93" s="87" t="s">
        <v>271</v>
      </c>
      <c r="BU93" s="33"/>
      <c r="BV93" s="34">
        <f t="shared" si="121"/>
        <v>0</v>
      </c>
      <c r="BY93" s="82"/>
      <c r="BZ93" s="82"/>
      <c r="CC93" s="37"/>
      <c r="CD93" s="71">
        <v>115.9</v>
      </c>
    </row>
    <row r="94" spans="1:82" s="77" customFormat="1" ht="18" customHeight="1" x14ac:dyDescent="0.25">
      <c r="A94" s="99" t="s">
        <v>58</v>
      </c>
      <c r="B94" s="100"/>
      <c r="C94" s="101"/>
      <c r="D94" s="93"/>
      <c r="E94" s="53"/>
      <c r="F94" s="68" t="s">
        <v>318</v>
      </c>
      <c r="G94" s="106">
        <v>91700</v>
      </c>
      <c r="H94" s="106">
        <v>91700</v>
      </c>
      <c r="I94" s="106">
        <v>91700</v>
      </c>
      <c r="J94" s="70" t="s">
        <v>319</v>
      </c>
      <c r="K94" s="106">
        <v>107833.89</v>
      </c>
      <c r="L94" s="106">
        <v>21732</v>
      </c>
      <c r="M94" s="106">
        <f t="shared" si="167"/>
        <v>21732</v>
      </c>
      <c r="N94" s="106">
        <f>M94*2</f>
        <v>43464</v>
      </c>
      <c r="O94" s="106">
        <f>I94</f>
        <v>91700</v>
      </c>
      <c r="P94" s="106">
        <f t="shared" si="168"/>
        <v>-48236</v>
      </c>
      <c r="Q94" s="106">
        <v>47667</v>
      </c>
      <c r="R94" s="106"/>
      <c r="S94" s="106">
        <f>O94</f>
        <v>91700</v>
      </c>
      <c r="T94" s="106">
        <f t="shared" si="90"/>
        <v>0</v>
      </c>
      <c r="U94" s="107">
        <f t="shared" si="91"/>
        <v>-16133.89</v>
      </c>
      <c r="V94" s="106">
        <f t="shared" si="92"/>
        <v>0</v>
      </c>
      <c r="W94" s="108"/>
      <c r="X94" s="134">
        <f>80679/3*4</f>
        <v>107572</v>
      </c>
      <c r="Y94" s="24">
        <f t="shared" si="93"/>
        <v>15872</v>
      </c>
      <c r="Z94" s="85">
        <v>91700</v>
      </c>
      <c r="AA94" s="29">
        <f t="shared" si="169"/>
        <v>0</v>
      </c>
      <c r="AB94" s="29">
        <f t="shared" si="170"/>
        <v>0</v>
      </c>
      <c r="AC94" s="72"/>
      <c r="AD94" s="72"/>
      <c r="AE94" s="72"/>
      <c r="AF94" s="72"/>
      <c r="AG94" s="72"/>
      <c r="AH94" s="85">
        <f t="shared" si="171"/>
        <v>91700</v>
      </c>
      <c r="AI94" s="85">
        <f>56156.45*2</f>
        <v>112312.9</v>
      </c>
      <c r="AJ94" s="85">
        <f t="shared" si="172"/>
        <v>0</v>
      </c>
      <c r="AK94" s="86">
        <v>112312.9</v>
      </c>
      <c r="AL94" s="123">
        <f>((20622.72+29201.07+19103.84)/3*4)+((81144.15-20622.72-29201.07-19103.84)/11*12)</f>
        <v>105230.61939393939</v>
      </c>
      <c r="AM94" s="27">
        <f t="shared" si="116"/>
        <v>-7082.280606060609</v>
      </c>
      <c r="AN94" s="61">
        <f t="shared" si="117"/>
        <v>13530.619393939385</v>
      </c>
      <c r="AO94" s="62">
        <f t="shared" si="118"/>
        <v>20612.899999999994</v>
      </c>
      <c r="AQ94" s="85" t="s">
        <v>320</v>
      </c>
      <c r="AR94" s="85" t="s">
        <v>320</v>
      </c>
      <c r="AS94" s="85" t="s">
        <v>320</v>
      </c>
      <c r="AT94" s="86">
        <f>AT68</f>
        <v>91700</v>
      </c>
      <c r="AU94" s="71">
        <v>112700.17</v>
      </c>
      <c r="AV94" s="71">
        <f t="shared" si="173"/>
        <v>91700</v>
      </c>
      <c r="AW94" s="71">
        <f t="shared" si="174"/>
        <v>0</v>
      </c>
      <c r="AX94" s="76">
        <f t="shared" si="175"/>
        <v>0</v>
      </c>
      <c r="AY94" s="76">
        <f t="shared" si="176"/>
        <v>-13530.619393939385</v>
      </c>
      <c r="BE94" s="71">
        <v>91700</v>
      </c>
      <c r="BF94" s="71">
        <f>56291.2*2</f>
        <v>112582.39999999999</v>
      </c>
      <c r="BG94" s="78">
        <f t="shared" si="177"/>
        <v>0</v>
      </c>
      <c r="BH94" s="71">
        <f t="shared" si="182"/>
        <v>112582.39999999999</v>
      </c>
      <c r="BI94" s="33">
        <f t="shared" si="178"/>
        <v>20882.399999999994</v>
      </c>
      <c r="BJ94" s="33">
        <f t="shared" si="179"/>
        <v>-117.77000000000407</v>
      </c>
      <c r="BK94" s="71">
        <f>85876.25/3*4</f>
        <v>114501.66666666667</v>
      </c>
      <c r="BL94" s="79">
        <f t="shared" si="180"/>
        <v>1919.2666666666773</v>
      </c>
      <c r="BM94" s="79">
        <f t="shared" si="181"/>
        <v>22801.666666666672</v>
      </c>
      <c r="BN94" s="87" t="s">
        <v>321</v>
      </c>
      <c r="BO94" s="87" t="s">
        <v>322</v>
      </c>
      <c r="BP94" s="71">
        <v>112916.26</v>
      </c>
      <c r="BQ94" s="32">
        <f t="shared" si="119"/>
        <v>-1585.4066666666768</v>
      </c>
      <c r="BR94" s="32">
        <f t="shared" si="120"/>
        <v>21216.259999999995</v>
      </c>
      <c r="BS94" s="32"/>
      <c r="BT94" s="87" t="s">
        <v>321</v>
      </c>
      <c r="BU94" s="33"/>
      <c r="BV94" s="34">
        <f t="shared" si="121"/>
        <v>20882.399999999994</v>
      </c>
      <c r="BY94" s="82"/>
      <c r="BZ94" s="82"/>
      <c r="CC94" s="37"/>
      <c r="CD94" s="71">
        <v>112700.17</v>
      </c>
    </row>
    <row r="95" spans="1:82" s="77" customFormat="1" ht="18" customHeight="1" x14ac:dyDescent="0.25">
      <c r="A95" s="99" t="s">
        <v>58</v>
      </c>
      <c r="B95" s="100"/>
      <c r="C95" s="101"/>
      <c r="D95" s="93"/>
      <c r="E95" s="53"/>
      <c r="F95" s="68" t="s">
        <v>323</v>
      </c>
      <c r="G95" s="106">
        <v>70500</v>
      </c>
      <c r="H95" s="106">
        <v>70500</v>
      </c>
      <c r="I95" s="106">
        <v>70500</v>
      </c>
      <c r="J95" s="70" t="s">
        <v>324</v>
      </c>
      <c r="K95" s="106">
        <v>172575.28</v>
      </c>
      <c r="L95" s="106">
        <v>18662</v>
      </c>
      <c r="M95" s="106">
        <f t="shared" si="167"/>
        <v>18662</v>
      </c>
      <c r="N95" s="106">
        <f>M95*2</f>
        <v>37324</v>
      </c>
      <c r="O95" s="106">
        <f>I95</f>
        <v>70500</v>
      </c>
      <c r="P95" s="106">
        <f t="shared" si="168"/>
        <v>-33176</v>
      </c>
      <c r="Q95" s="106">
        <v>67410</v>
      </c>
      <c r="R95" s="106"/>
      <c r="S95" s="106">
        <f>O95</f>
        <v>70500</v>
      </c>
      <c r="T95" s="106">
        <f t="shared" si="90"/>
        <v>0</v>
      </c>
      <c r="U95" s="107">
        <f t="shared" si="91"/>
        <v>-102075.28</v>
      </c>
      <c r="V95" s="106">
        <f t="shared" si="92"/>
        <v>0</v>
      </c>
      <c r="W95" s="108"/>
      <c r="X95" s="134">
        <f>93937/3*4</f>
        <v>125249.33333333333</v>
      </c>
      <c r="Y95" s="24">
        <f t="shared" si="93"/>
        <v>54749.333333333328</v>
      </c>
      <c r="Z95" s="85">
        <f>S95</f>
        <v>70500</v>
      </c>
      <c r="AA95" s="29">
        <f t="shared" si="169"/>
        <v>0</v>
      </c>
      <c r="AB95" s="29">
        <f t="shared" si="170"/>
        <v>0</v>
      </c>
      <c r="AC95" s="72"/>
      <c r="AD95" s="72"/>
      <c r="AE95" s="72"/>
      <c r="AF95" s="72"/>
      <c r="AG95" s="72"/>
      <c r="AH95" s="85">
        <f t="shared" si="171"/>
        <v>70500</v>
      </c>
      <c r="AI95" s="85">
        <f>55783.89*2</f>
        <v>111567.78</v>
      </c>
      <c r="AJ95" s="85">
        <f t="shared" si="172"/>
        <v>0</v>
      </c>
      <c r="AK95" s="86">
        <v>111567.78</v>
      </c>
      <c r="AL95" s="123">
        <f>79641.04/3*4</f>
        <v>106188.05333333333</v>
      </c>
      <c r="AM95" s="27">
        <f t="shared" si="116"/>
        <v>-5379.7266666666692</v>
      </c>
      <c r="AN95" s="61">
        <f t="shared" si="117"/>
        <v>35688.05333333333</v>
      </c>
      <c r="AO95" s="62">
        <f t="shared" si="118"/>
        <v>41067.78</v>
      </c>
      <c r="AQ95" s="85" t="s">
        <v>320</v>
      </c>
      <c r="AR95" s="85" t="s">
        <v>320</v>
      </c>
      <c r="AS95" s="85" t="s">
        <v>320</v>
      </c>
      <c r="AT95" s="86">
        <f>AT69</f>
        <v>70500</v>
      </c>
      <c r="AU95" s="71">
        <v>103183.03999999999</v>
      </c>
      <c r="AV95" s="71">
        <f t="shared" si="173"/>
        <v>70500</v>
      </c>
      <c r="AW95" s="71">
        <f t="shared" si="174"/>
        <v>0</v>
      </c>
      <c r="AX95" s="76">
        <f t="shared" si="175"/>
        <v>0</v>
      </c>
      <c r="AY95" s="76">
        <f t="shared" si="176"/>
        <v>-35688.05333333333</v>
      </c>
      <c r="BE95" s="71">
        <v>70500</v>
      </c>
      <c r="BF95" s="71">
        <f>44775.61*2</f>
        <v>89551.22</v>
      </c>
      <c r="BG95" s="78">
        <f t="shared" si="177"/>
        <v>0</v>
      </c>
      <c r="BH95" s="71">
        <f t="shared" si="182"/>
        <v>89551.22</v>
      </c>
      <c r="BI95" s="33">
        <f t="shared" si="178"/>
        <v>19051.22</v>
      </c>
      <c r="BJ95" s="33">
        <f t="shared" si="179"/>
        <v>-13631.819999999992</v>
      </c>
      <c r="BK95" s="71">
        <f>63421.75/3*4</f>
        <v>84562.333333333328</v>
      </c>
      <c r="BL95" s="79">
        <f t="shared" si="180"/>
        <v>-4988.8866666666727</v>
      </c>
      <c r="BM95" s="79">
        <f t="shared" si="181"/>
        <v>14062.333333333328</v>
      </c>
      <c r="BN95" s="87" t="s">
        <v>321</v>
      </c>
      <c r="BO95" s="87" t="s">
        <v>322</v>
      </c>
      <c r="BP95" s="71">
        <v>84172.18</v>
      </c>
      <c r="BQ95" s="32">
        <f t="shared" si="119"/>
        <v>-390.15333333333547</v>
      </c>
      <c r="BR95" s="32">
        <f t="shared" si="120"/>
        <v>13672.179999999993</v>
      </c>
      <c r="BS95" s="32"/>
      <c r="BT95" s="87" t="s">
        <v>321</v>
      </c>
      <c r="BU95" s="33"/>
      <c r="BV95" s="34">
        <f t="shared" si="121"/>
        <v>19051.22</v>
      </c>
      <c r="BY95" s="82"/>
      <c r="BZ95" s="82"/>
      <c r="CC95" s="37"/>
      <c r="CD95" s="71">
        <v>103183.03999999999</v>
      </c>
    </row>
    <row r="96" spans="1:82" s="77" customFormat="1" ht="18" customHeight="1" x14ac:dyDescent="0.25">
      <c r="A96" s="99" t="s">
        <v>58</v>
      </c>
      <c r="B96" s="100"/>
      <c r="C96" s="101"/>
      <c r="D96" s="93"/>
      <c r="E96" s="53"/>
      <c r="F96" s="68" t="s">
        <v>325</v>
      </c>
      <c r="G96" s="106">
        <v>49700</v>
      </c>
      <c r="H96" s="106">
        <v>2000</v>
      </c>
      <c r="I96" s="106">
        <v>1000</v>
      </c>
      <c r="J96" s="70"/>
      <c r="K96" s="106">
        <v>1934.02</v>
      </c>
      <c r="L96" s="106"/>
      <c r="M96" s="106">
        <f t="shared" si="167"/>
        <v>0</v>
      </c>
      <c r="N96" s="106">
        <f>M96*2</f>
        <v>0</v>
      </c>
      <c r="O96" s="106">
        <v>0</v>
      </c>
      <c r="P96" s="106">
        <f t="shared" si="168"/>
        <v>-1000</v>
      </c>
      <c r="Q96" s="106"/>
      <c r="R96" s="106"/>
      <c r="S96" s="106"/>
      <c r="T96" s="106">
        <f t="shared" si="90"/>
        <v>-1000</v>
      </c>
      <c r="U96" s="107">
        <f t="shared" si="91"/>
        <v>-1934.02</v>
      </c>
      <c r="V96" s="106">
        <f t="shared" si="92"/>
        <v>0</v>
      </c>
      <c r="W96" s="108"/>
      <c r="X96" s="109">
        <v>0</v>
      </c>
      <c r="Y96" s="24">
        <f t="shared" si="93"/>
        <v>0</v>
      </c>
      <c r="Z96" s="85">
        <v>0</v>
      </c>
      <c r="AA96" s="29">
        <f t="shared" si="169"/>
        <v>-1000</v>
      </c>
      <c r="AB96" s="29">
        <f t="shared" si="170"/>
        <v>0</v>
      </c>
      <c r="AC96" s="72"/>
      <c r="AD96" s="72"/>
      <c r="AE96" s="72"/>
      <c r="AF96" s="72"/>
      <c r="AG96" s="72"/>
      <c r="AH96" s="85">
        <f t="shared" si="171"/>
        <v>0</v>
      </c>
      <c r="AI96" s="85"/>
      <c r="AJ96" s="85">
        <f t="shared" si="172"/>
        <v>0</v>
      </c>
      <c r="AK96" s="86"/>
      <c r="AL96" s="85"/>
      <c r="AM96" s="27">
        <f t="shared" si="116"/>
        <v>0</v>
      </c>
      <c r="AN96" s="61">
        <f t="shared" si="117"/>
        <v>0</v>
      </c>
      <c r="AO96" s="62">
        <f t="shared" si="118"/>
        <v>0</v>
      </c>
      <c r="AQ96" s="85"/>
      <c r="AR96" s="85"/>
      <c r="AS96" s="85"/>
      <c r="AT96" s="86"/>
      <c r="AU96" s="85">
        <v>0</v>
      </c>
      <c r="AV96" s="85">
        <v>0</v>
      </c>
      <c r="AW96" s="85">
        <f t="shared" si="174"/>
        <v>0</v>
      </c>
      <c r="AX96" s="76">
        <f t="shared" si="175"/>
        <v>0</v>
      </c>
      <c r="AY96" s="76">
        <f t="shared" si="176"/>
        <v>0</v>
      </c>
      <c r="BE96" s="85">
        <v>0</v>
      </c>
      <c r="BF96" s="85">
        <v>1054.2</v>
      </c>
      <c r="BG96" s="78">
        <f t="shared" si="177"/>
        <v>0</v>
      </c>
      <c r="BH96" s="71">
        <f t="shared" si="182"/>
        <v>1054.2</v>
      </c>
      <c r="BI96" s="33">
        <f t="shared" si="178"/>
        <v>1054.2</v>
      </c>
      <c r="BJ96" s="33">
        <f t="shared" si="179"/>
        <v>1054.2</v>
      </c>
      <c r="BK96" s="71">
        <f>BH96</f>
        <v>1054.2</v>
      </c>
      <c r="BL96" s="79">
        <f t="shared" si="180"/>
        <v>0</v>
      </c>
      <c r="BM96" s="79">
        <f t="shared" si="181"/>
        <v>1054.2</v>
      </c>
      <c r="BN96" s="87" t="s">
        <v>326</v>
      </c>
      <c r="BO96" s="87" t="s">
        <v>326</v>
      </c>
      <c r="BP96" s="71">
        <v>1054.2</v>
      </c>
      <c r="BQ96" s="32">
        <f t="shared" si="119"/>
        <v>0</v>
      </c>
      <c r="BR96" s="32">
        <f t="shared" si="120"/>
        <v>1054.2</v>
      </c>
      <c r="BS96" s="87" t="s">
        <v>326</v>
      </c>
      <c r="BT96" s="87" t="s">
        <v>326</v>
      </c>
      <c r="BU96" s="33"/>
      <c r="BV96" s="34">
        <f t="shared" si="121"/>
        <v>1054.2</v>
      </c>
      <c r="BY96" s="82"/>
      <c r="BZ96" s="82"/>
      <c r="CC96" s="37"/>
      <c r="CD96" s="71">
        <v>0</v>
      </c>
    </row>
    <row r="97" spans="1:82" s="63" customFormat="1" ht="18" customHeight="1" x14ac:dyDescent="0.25">
      <c r="A97" s="96" t="s">
        <v>58</v>
      </c>
      <c r="B97" s="97"/>
      <c r="C97" s="98"/>
      <c r="D97" s="103"/>
      <c r="E97" s="53" t="s">
        <v>327</v>
      </c>
      <c r="F97" s="54"/>
      <c r="G97" s="55">
        <v>519000</v>
      </c>
      <c r="H97" s="55">
        <v>487100</v>
      </c>
      <c r="I97" s="55">
        <f t="shared" ref="I97:Q97" si="183">SUM(I98:I103)</f>
        <v>491700</v>
      </c>
      <c r="J97" s="55">
        <f t="shared" si="183"/>
        <v>0</v>
      </c>
      <c r="K97" s="55">
        <f t="shared" si="183"/>
        <v>466846.01</v>
      </c>
      <c r="L97" s="55">
        <f t="shared" si="183"/>
        <v>256793.77999999997</v>
      </c>
      <c r="M97" s="55">
        <f t="shared" si="183"/>
        <v>256793.77999999997</v>
      </c>
      <c r="N97" s="55">
        <f t="shared" si="183"/>
        <v>531505.74719999998</v>
      </c>
      <c r="O97" s="55">
        <f t="shared" si="183"/>
        <v>530796.5179359999</v>
      </c>
      <c r="P97" s="55">
        <f t="shared" si="183"/>
        <v>39805.747199999976</v>
      </c>
      <c r="Q97" s="55">
        <f t="shared" si="183"/>
        <v>396118.43</v>
      </c>
      <c r="R97" s="55"/>
      <c r="S97" s="55">
        <f>SUM(S98:S103)</f>
        <v>533694.14042666659</v>
      </c>
      <c r="T97" s="55">
        <f t="shared" si="90"/>
        <v>41994.140426666592</v>
      </c>
      <c r="U97" s="56">
        <f t="shared" si="91"/>
        <v>66848.130426666583</v>
      </c>
      <c r="V97" s="55">
        <f t="shared" si="92"/>
        <v>2897.6224906666903</v>
      </c>
      <c r="W97" s="57"/>
      <c r="X97" s="58">
        <f>SUM(X98:X103)</f>
        <v>540990.28090909088</v>
      </c>
      <c r="Y97" s="59">
        <f t="shared" si="93"/>
        <v>7296.1404824242927</v>
      </c>
      <c r="Z97" s="33">
        <f t="shared" ref="Z97:AL97" si="184">SUM(Z98:Z103)</f>
        <v>578782</v>
      </c>
      <c r="AA97" s="33">
        <f t="shared" si="184"/>
        <v>87082</v>
      </c>
      <c r="AB97" s="33">
        <f t="shared" si="184"/>
        <v>45087.859573333335</v>
      </c>
      <c r="AC97" s="33">
        <f t="shared" si="184"/>
        <v>0</v>
      </c>
      <c r="AD97" s="33">
        <f t="shared" si="184"/>
        <v>22543.929786666667</v>
      </c>
      <c r="AE97" s="33">
        <f t="shared" si="184"/>
        <v>77564</v>
      </c>
      <c r="AF97" s="33">
        <f t="shared" si="184"/>
        <v>0</v>
      </c>
      <c r="AG97" s="33">
        <f t="shared" si="184"/>
        <v>0</v>
      </c>
      <c r="AH97" s="33">
        <f t="shared" si="184"/>
        <v>615398.63098802394</v>
      </c>
      <c r="AI97" s="33">
        <f t="shared" si="184"/>
        <v>624087.22285714292</v>
      </c>
      <c r="AJ97" s="33">
        <f t="shared" si="184"/>
        <v>36616.630988023942</v>
      </c>
      <c r="AK97" s="60">
        <f t="shared" si="184"/>
        <v>623466.41813333333</v>
      </c>
      <c r="AL97" s="33">
        <f t="shared" si="184"/>
        <v>621396.60943636368</v>
      </c>
      <c r="AM97" s="27">
        <f t="shared" si="116"/>
        <v>-2690.6134207792347</v>
      </c>
      <c r="AN97" s="61">
        <f t="shared" si="117"/>
        <v>42614.60943636368</v>
      </c>
      <c r="AO97" s="62">
        <f t="shared" si="118"/>
        <v>45305.222857142915</v>
      </c>
      <c r="AQ97" s="33"/>
      <c r="AR97" s="33"/>
      <c r="AS97" s="33"/>
      <c r="AT97" s="60">
        <f t="shared" ref="AT97:BP97" si="185">SUM(AT98:AT103)</f>
        <v>649393.77498280001</v>
      </c>
      <c r="AU97" s="33">
        <f t="shared" si="185"/>
        <v>622133.69000000018</v>
      </c>
      <c r="AV97" s="33">
        <f t="shared" si="185"/>
        <v>649800</v>
      </c>
      <c r="AW97" s="33">
        <f t="shared" si="185"/>
        <v>71018</v>
      </c>
      <c r="AX97" s="33">
        <f t="shared" si="185"/>
        <v>70611.774982799965</v>
      </c>
      <c r="AY97" s="33">
        <f t="shared" si="185"/>
        <v>27997.165546436336</v>
      </c>
      <c r="AZ97" s="33">
        <f t="shared" si="185"/>
        <v>0</v>
      </c>
      <c r="BA97" s="33">
        <f t="shared" si="185"/>
        <v>0</v>
      </c>
      <c r="BB97" s="33">
        <f t="shared" si="185"/>
        <v>0</v>
      </c>
      <c r="BC97" s="33">
        <f t="shared" si="185"/>
        <v>0</v>
      </c>
      <c r="BD97" s="33">
        <f t="shared" si="185"/>
        <v>0</v>
      </c>
      <c r="BE97" s="33">
        <f t="shared" si="185"/>
        <v>642430.86</v>
      </c>
      <c r="BF97" s="33">
        <f t="shared" si="185"/>
        <v>673220.90442857135</v>
      </c>
      <c r="BG97" s="33">
        <f t="shared" si="185"/>
        <v>-7369.140000000014</v>
      </c>
      <c r="BH97" s="33">
        <f t="shared" si="185"/>
        <v>664966.88811296481</v>
      </c>
      <c r="BI97" s="33">
        <f t="shared" si="185"/>
        <v>23420.904428571375</v>
      </c>
      <c r="BJ97" s="33">
        <f t="shared" si="185"/>
        <v>51087.214428571329</v>
      </c>
      <c r="BK97" s="33">
        <f t="shared" si="185"/>
        <v>671141.39480000013</v>
      </c>
      <c r="BL97" s="33">
        <f t="shared" si="185"/>
        <v>6174.5066870351193</v>
      </c>
      <c r="BM97" s="33">
        <f t="shared" si="185"/>
        <v>21341.394799999998</v>
      </c>
      <c r="BN97" s="33">
        <f t="shared" si="185"/>
        <v>0</v>
      </c>
      <c r="BO97" s="33">
        <f t="shared" si="185"/>
        <v>0</v>
      </c>
      <c r="BP97" s="33">
        <f t="shared" si="185"/>
        <v>678555.68</v>
      </c>
      <c r="BQ97" s="32">
        <f t="shared" si="119"/>
        <v>7414.2851999999257</v>
      </c>
      <c r="BR97" s="32">
        <f t="shared" si="120"/>
        <v>28755.680000000051</v>
      </c>
      <c r="BS97" s="32"/>
      <c r="BT97" s="32"/>
      <c r="BU97" s="33"/>
      <c r="BV97" s="34">
        <f t="shared" si="121"/>
        <v>15166.888112964807</v>
      </c>
      <c r="BY97" s="64"/>
      <c r="BZ97" s="64"/>
      <c r="CC97" s="37"/>
      <c r="CD97" s="33">
        <f>SUM(CD98:CD103)</f>
        <v>622133.69000000018</v>
      </c>
    </row>
    <row r="98" spans="1:82" s="77" customFormat="1" ht="18" customHeight="1" x14ac:dyDescent="0.25">
      <c r="A98" s="99" t="s">
        <v>58</v>
      </c>
      <c r="B98" s="100"/>
      <c r="C98" s="101"/>
      <c r="D98" s="93"/>
      <c r="E98" s="53"/>
      <c r="F98" s="68" t="s">
        <v>328</v>
      </c>
      <c r="G98" s="83">
        <v>442200</v>
      </c>
      <c r="H98" s="83">
        <v>420000</v>
      </c>
      <c r="I98" s="83">
        <v>430000</v>
      </c>
      <c r="J98" s="70" t="s">
        <v>329</v>
      </c>
      <c r="K98" s="83">
        <v>405734.24</v>
      </c>
      <c r="L98" s="83">
        <v>223977.34</v>
      </c>
      <c r="M98" s="83">
        <f t="shared" ref="M98:M103" si="186">L98</f>
        <v>223977.34</v>
      </c>
      <c r="N98" s="83">
        <f>M98+(M98*1.08)</f>
        <v>465872.86719999998</v>
      </c>
      <c r="O98" s="83">
        <f>N98</f>
        <v>465872.86719999998</v>
      </c>
      <c r="P98" s="83">
        <f t="shared" ref="P98:P103" si="187">N98-I98</f>
        <v>35872.867199999979</v>
      </c>
      <c r="Q98" s="83">
        <v>346549.72</v>
      </c>
      <c r="R98" s="83"/>
      <c r="S98" s="83">
        <v>467839.87</v>
      </c>
      <c r="T98" s="83">
        <f t="shared" si="90"/>
        <v>37839.869999999995</v>
      </c>
      <c r="U98" s="83">
        <f t="shared" si="91"/>
        <v>62105.630000000005</v>
      </c>
      <c r="V98" s="83">
        <f t="shared" si="92"/>
        <v>1967.0028000000166</v>
      </c>
      <c r="W98" s="84" t="s">
        <v>330</v>
      </c>
      <c r="X98" s="83">
        <f>431079.88+(1300+4300)+42162.09</f>
        <v>478841.97</v>
      </c>
      <c r="Y98" s="47">
        <f t="shared" si="93"/>
        <v>11002.099999999977</v>
      </c>
      <c r="Z98" s="85">
        <v>507564</v>
      </c>
      <c r="AA98" s="29">
        <f t="shared" ref="AA98:AA103" si="188">Z98-I98</f>
        <v>77564</v>
      </c>
      <c r="AB98" s="29">
        <f t="shared" ref="AB98:AB103" si="189">Z98-S98</f>
        <v>39724.130000000005</v>
      </c>
      <c r="AC98" s="72" t="s">
        <v>309</v>
      </c>
      <c r="AD98" s="72">
        <f t="shared" ref="AD98:AD103" si="190">AB98/2</f>
        <v>19862.065000000002</v>
      </c>
      <c r="AE98" s="89">
        <f>AA98</f>
        <v>77564</v>
      </c>
      <c r="AF98" s="72"/>
      <c r="AG98" s="72"/>
      <c r="AH98" s="85">
        <f>'[3]Generi alimentari'!$C$14</f>
        <v>544180.63098802394</v>
      </c>
      <c r="AI98" s="85">
        <f>269721.26+(45802.75*6)</f>
        <v>544537.76</v>
      </c>
      <c r="AJ98" s="85">
        <f t="shared" ref="AJ98:AJ103" si="191">AH98-Z98</f>
        <v>36616.630988023942</v>
      </c>
      <c r="AK98" s="86">
        <v>542527.07000000007</v>
      </c>
      <c r="AL98" s="85">
        <v>544180.63</v>
      </c>
      <c r="AM98" s="74">
        <f t="shared" si="116"/>
        <v>-357.13000000000466</v>
      </c>
      <c r="AN98" s="33">
        <f t="shared" si="117"/>
        <v>36616.630000000005</v>
      </c>
      <c r="AO98" s="75">
        <f t="shared" si="118"/>
        <v>36973.760000000009</v>
      </c>
      <c r="AP98" s="72">
        <f>AJ98</f>
        <v>36616.630988023942</v>
      </c>
      <c r="AQ98" s="85" t="s">
        <v>331</v>
      </c>
      <c r="AR98" s="85" t="s">
        <v>332</v>
      </c>
      <c r="AS98" s="85" t="s">
        <v>331</v>
      </c>
      <c r="AT98" s="86">
        <f>AL98*104.6%</f>
        <v>569212.93897999998</v>
      </c>
      <c r="AU98" s="71">
        <v>545564.43000000005</v>
      </c>
      <c r="AV98" s="71">
        <f t="shared" ref="AV98:AV103" si="192">CEILING(AT98,100)</f>
        <v>569300</v>
      </c>
      <c r="AW98" s="71">
        <f t="shared" ref="AW98:AW103" si="193">AV98-Z98</f>
        <v>61736</v>
      </c>
      <c r="AX98" s="76">
        <f t="shared" ref="AX98:AX103" si="194">AT98-Z98</f>
        <v>61648.938979999977</v>
      </c>
      <c r="AY98" s="76">
        <f t="shared" ref="AY98:AY103" si="195">AT98-AL98</f>
        <v>25032.308979999973</v>
      </c>
      <c r="AZ98" s="145" t="s">
        <v>333</v>
      </c>
      <c r="BE98" s="71">
        <v>561930.86</v>
      </c>
      <c r="BF98" s="71">
        <v>562918.06999999995</v>
      </c>
      <c r="BG98" s="78">
        <f t="shared" ref="BG98:BG103" si="196">BE98-AV98</f>
        <v>-7369.140000000014</v>
      </c>
      <c r="BH98" s="71">
        <v>557427.60416058393</v>
      </c>
      <c r="BI98" s="33">
        <f t="shared" ref="BI98:BI103" si="197">BF98-AV98</f>
        <v>-6381.9300000000512</v>
      </c>
      <c r="BJ98" s="33">
        <f t="shared" ref="BJ98:BJ103" si="198">BF98-AU98</f>
        <v>17353.639999999898</v>
      </c>
      <c r="BK98" s="71">
        <v>557950.99</v>
      </c>
      <c r="BL98" s="79">
        <f t="shared" ref="BL98:BL103" si="199">BK98-BH98</f>
        <v>523.38583941606339</v>
      </c>
      <c r="BM98" s="79">
        <f t="shared" ref="BM98:BM103" si="200">BK98-AV98</f>
        <v>-11349.010000000009</v>
      </c>
      <c r="BN98" s="87" t="s">
        <v>334</v>
      </c>
      <c r="BO98" s="87" t="s">
        <v>334</v>
      </c>
      <c r="BP98" s="71">
        <v>564529.55000000005</v>
      </c>
      <c r="BQ98" s="32">
        <f t="shared" si="119"/>
        <v>6578.5600000000559</v>
      </c>
      <c r="BR98" s="32">
        <f t="shared" si="120"/>
        <v>-4770.4499999999534</v>
      </c>
      <c r="BS98" s="32"/>
      <c r="BT98" s="87" t="s">
        <v>334</v>
      </c>
      <c r="BU98" s="33" t="s">
        <v>140</v>
      </c>
      <c r="BV98" s="34">
        <f t="shared" si="121"/>
        <v>-11872.395839416073</v>
      </c>
      <c r="BY98" s="82"/>
      <c r="BZ98" s="82"/>
      <c r="CC98" s="37"/>
      <c r="CD98" s="71">
        <v>545564.43000000005</v>
      </c>
    </row>
    <row r="99" spans="1:82" s="77" customFormat="1" ht="18" customHeight="1" x14ac:dyDescent="0.25">
      <c r="A99" s="99" t="s">
        <v>58</v>
      </c>
      <c r="B99" s="100"/>
      <c r="C99" s="101"/>
      <c r="D99" s="93"/>
      <c r="E99" s="53"/>
      <c r="F99" s="68" t="s">
        <v>335</v>
      </c>
      <c r="G99" s="106">
        <v>38900</v>
      </c>
      <c r="H99" s="106">
        <v>23000</v>
      </c>
      <c r="I99" s="106">
        <v>23500</v>
      </c>
      <c r="J99" s="70" t="s">
        <v>336</v>
      </c>
      <c r="K99" s="106">
        <v>20078.97</v>
      </c>
      <c r="L99" s="106">
        <v>12543.99</v>
      </c>
      <c r="M99" s="106">
        <f t="shared" si="186"/>
        <v>12543.99</v>
      </c>
      <c r="N99" s="106">
        <f>M99*2</f>
        <v>25087.98</v>
      </c>
      <c r="O99" s="106">
        <f>N99</f>
        <v>25087.98</v>
      </c>
      <c r="P99" s="106">
        <f t="shared" si="187"/>
        <v>1587.9799999999996</v>
      </c>
      <c r="Q99" s="106">
        <v>17360.740000000002</v>
      </c>
      <c r="R99" s="106"/>
      <c r="S99" s="106">
        <f>Q99+620+3200+1000+(378*1.22)+(92*0.0768*221*1.22)</f>
        <v>24546.927072000002</v>
      </c>
      <c r="T99" s="106">
        <f t="shared" si="90"/>
        <v>1046.9270720000022</v>
      </c>
      <c r="U99" s="107">
        <f t="shared" si="91"/>
        <v>4467.9570720000011</v>
      </c>
      <c r="V99" s="106">
        <f t="shared" si="92"/>
        <v>-541.05292799999734</v>
      </c>
      <c r="W99" s="108"/>
      <c r="X99" s="109">
        <f>21227.56/11*12</f>
        <v>23157.338181818184</v>
      </c>
      <c r="Y99" s="24">
        <f t="shared" si="93"/>
        <v>-1389.588890181818</v>
      </c>
      <c r="Z99" s="85">
        <v>24547</v>
      </c>
      <c r="AA99" s="29">
        <f t="shared" si="188"/>
        <v>1047</v>
      </c>
      <c r="AB99" s="29">
        <f t="shared" si="189"/>
        <v>7.2927999997773441E-2</v>
      </c>
      <c r="AC99" s="72" t="s">
        <v>309</v>
      </c>
      <c r="AD99" s="72">
        <f t="shared" si="190"/>
        <v>3.646399999888672E-2</v>
      </c>
      <c r="AE99" s="72"/>
      <c r="AF99" s="72"/>
      <c r="AG99" s="72"/>
      <c r="AH99" s="85">
        <f>Z99</f>
        <v>24547</v>
      </c>
      <c r="AI99" s="85">
        <v>28200</v>
      </c>
      <c r="AJ99" s="85">
        <f t="shared" si="191"/>
        <v>0</v>
      </c>
      <c r="AK99" s="86">
        <v>28700</v>
      </c>
      <c r="AL99" s="123">
        <f>27350.87+(223*(0.13*1.22)*31)+((241.67+190.98)/2*3)</f>
        <v>29096.246799999997</v>
      </c>
      <c r="AM99" s="27">
        <f t="shared" si="116"/>
        <v>896.24679999999717</v>
      </c>
      <c r="AN99" s="61">
        <f t="shared" si="117"/>
        <v>4549.2467999999972</v>
      </c>
      <c r="AO99" s="62">
        <f t="shared" si="118"/>
        <v>3653</v>
      </c>
      <c r="AQ99" s="85" t="s">
        <v>337</v>
      </c>
      <c r="AR99" s="85" t="s">
        <v>337</v>
      </c>
      <c r="AS99" s="85" t="s">
        <v>337</v>
      </c>
      <c r="AT99" s="86">
        <f>AL99*104.6%</f>
        <v>30434.674152799998</v>
      </c>
      <c r="AU99" s="71">
        <v>28729.3</v>
      </c>
      <c r="AV99" s="71">
        <f t="shared" si="192"/>
        <v>30500</v>
      </c>
      <c r="AW99" s="71">
        <f t="shared" si="193"/>
        <v>5953</v>
      </c>
      <c r="AX99" s="76">
        <f t="shared" si="194"/>
        <v>5887.6741527999984</v>
      </c>
      <c r="AY99" s="76">
        <f t="shared" si="195"/>
        <v>1338.4273528000012</v>
      </c>
      <c r="AZ99" s="145" t="s">
        <v>333</v>
      </c>
      <c r="BE99" s="71">
        <v>30500</v>
      </c>
      <c r="BF99" s="71">
        <v>33300</v>
      </c>
      <c r="BG99" s="78">
        <f t="shared" si="196"/>
        <v>0</v>
      </c>
      <c r="BH99" s="71">
        <f>BF99</f>
        <v>33300</v>
      </c>
      <c r="BI99" s="33">
        <f t="shared" si="197"/>
        <v>2800</v>
      </c>
      <c r="BJ99" s="33">
        <f t="shared" si="198"/>
        <v>4570.7000000000007</v>
      </c>
      <c r="BK99" s="71">
        <v>33094.631800000003</v>
      </c>
      <c r="BL99" s="79">
        <f t="shared" si="199"/>
        <v>-205.36819999999716</v>
      </c>
      <c r="BM99" s="79">
        <f t="shared" si="200"/>
        <v>2594.6318000000028</v>
      </c>
      <c r="BN99" s="87"/>
      <c r="BO99" s="87" t="s">
        <v>317</v>
      </c>
      <c r="BP99" s="71">
        <v>32994.83</v>
      </c>
      <c r="BQ99" s="32">
        <f t="shared" si="119"/>
        <v>-99.801800000001094</v>
      </c>
      <c r="BR99" s="32">
        <f t="shared" si="120"/>
        <v>2494.8300000000017</v>
      </c>
      <c r="BS99" s="32"/>
      <c r="BT99" s="87"/>
      <c r="BU99" s="33"/>
      <c r="BV99" s="34">
        <f t="shared" si="121"/>
        <v>2800</v>
      </c>
      <c r="BW99" s="72"/>
      <c r="BY99" s="82"/>
      <c r="BZ99" s="82"/>
      <c r="CC99" s="37"/>
      <c r="CD99" s="71">
        <v>28729.3</v>
      </c>
    </row>
    <row r="100" spans="1:82" s="77" customFormat="1" ht="18" customHeight="1" x14ac:dyDescent="0.25">
      <c r="A100" s="99" t="s">
        <v>58</v>
      </c>
      <c r="B100" s="100"/>
      <c r="C100" s="101"/>
      <c r="D100" s="93"/>
      <c r="E100" s="53"/>
      <c r="F100" s="68" t="s">
        <v>338</v>
      </c>
      <c r="G100" s="106">
        <v>12100</v>
      </c>
      <c r="H100" s="106">
        <v>11100</v>
      </c>
      <c r="I100" s="106">
        <v>14200</v>
      </c>
      <c r="J100" s="70" t="s">
        <v>339</v>
      </c>
      <c r="K100" s="106">
        <v>11050.53</v>
      </c>
      <c r="L100" s="106">
        <v>6542.82</v>
      </c>
      <c r="M100" s="106">
        <f t="shared" si="186"/>
        <v>6542.82</v>
      </c>
      <c r="N100" s="106">
        <f>M100*2</f>
        <v>13085.64</v>
      </c>
      <c r="O100" s="106">
        <f>M100+(184*218.5*0.1422*1.22)+500</f>
        <v>14017.570735999998</v>
      </c>
      <c r="P100" s="106">
        <f t="shared" si="187"/>
        <v>-1114.3600000000006</v>
      </c>
      <c r="Q100" s="106">
        <v>10053.209999999999</v>
      </c>
      <c r="R100" s="106"/>
      <c r="S100" s="106">
        <f>221*(31+30+31)*0.1422*1.22+20+Q100</f>
        <v>13600.486687999999</v>
      </c>
      <c r="T100" s="106">
        <f t="shared" si="90"/>
        <v>-599.51331200000095</v>
      </c>
      <c r="U100" s="107">
        <f t="shared" si="91"/>
        <v>2549.9566879999984</v>
      </c>
      <c r="V100" s="106">
        <f t="shared" si="92"/>
        <v>-417.0840479999988</v>
      </c>
      <c r="W100" s="108"/>
      <c r="X100" s="109">
        <f>12376/11*12</f>
        <v>13501.090909090908</v>
      </c>
      <c r="Y100" s="24">
        <f t="shared" si="93"/>
        <v>-99.39577890909095</v>
      </c>
      <c r="Z100" s="85">
        <v>14311</v>
      </c>
      <c r="AA100" s="29">
        <f t="shared" si="188"/>
        <v>111</v>
      </c>
      <c r="AB100" s="29">
        <f t="shared" si="189"/>
        <v>710.51331200000095</v>
      </c>
      <c r="AC100" s="72" t="s">
        <v>309</v>
      </c>
      <c r="AD100" s="72">
        <f t="shared" si="190"/>
        <v>355.25665600000048</v>
      </c>
      <c r="AE100" s="72"/>
      <c r="AF100" s="72"/>
      <c r="AG100" s="72"/>
      <c r="AH100" s="85">
        <f>Z100</f>
        <v>14311</v>
      </c>
      <c r="AI100" s="85">
        <f>8123.95+(223*0.35*(31+30+31+30+31))</f>
        <v>20065.599999999999</v>
      </c>
      <c r="AJ100" s="85">
        <f t="shared" si="191"/>
        <v>0</v>
      </c>
      <c r="AK100" s="86">
        <v>22659.482</v>
      </c>
      <c r="AL100" s="123">
        <f>19642.73+(223*(0.35*1.22)*31)</f>
        <v>22594.580999999998</v>
      </c>
      <c r="AM100" s="27">
        <f t="shared" si="116"/>
        <v>2528.9809999999998</v>
      </c>
      <c r="AN100" s="61">
        <f t="shared" si="117"/>
        <v>8283.5809999999983</v>
      </c>
      <c r="AO100" s="62">
        <f t="shared" si="118"/>
        <v>5754.5999999999985</v>
      </c>
      <c r="AQ100" s="85" t="s">
        <v>340</v>
      </c>
      <c r="AR100" s="85" t="s">
        <v>340</v>
      </c>
      <c r="AS100" s="85" t="s">
        <v>340</v>
      </c>
      <c r="AT100" s="86">
        <f>AL100*104.6%</f>
        <v>23633.931725999999</v>
      </c>
      <c r="AU100" s="71">
        <v>22568.11</v>
      </c>
      <c r="AV100" s="71">
        <f t="shared" si="192"/>
        <v>23700</v>
      </c>
      <c r="AW100" s="71">
        <f t="shared" si="193"/>
        <v>9389</v>
      </c>
      <c r="AX100" s="76">
        <f t="shared" si="194"/>
        <v>9322.9317259999989</v>
      </c>
      <c r="AY100" s="76">
        <f t="shared" si="195"/>
        <v>1039.3507260000006</v>
      </c>
      <c r="AZ100" s="145" t="s">
        <v>333</v>
      </c>
      <c r="BE100" s="71">
        <v>23700</v>
      </c>
      <c r="BF100" s="71">
        <f>20126.98+((223*(31+30+31+30+31)*0.35)*1.22)</f>
        <v>34695.792999999998</v>
      </c>
      <c r="BG100" s="78">
        <f t="shared" si="196"/>
        <v>0</v>
      </c>
      <c r="BH100" s="71">
        <f>BF100</f>
        <v>34695.792999999998</v>
      </c>
      <c r="BI100" s="33">
        <f t="shared" si="197"/>
        <v>10995.792999999998</v>
      </c>
      <c r="BJ100" s="33">
        <f t="shared" si="198"/>
        <v>12127.682999999997</v>
      </c>
      <c r="BK100" s="71">
        <v>34507.29</v>
      </c>
      <c r="BL100" s="79">
        <f t="shared" si="199"/>
        <v>-188.50299999999697</v>
      </c>
      <c r="BM100" s="79">
        <f t="shared" si="200"/>
        <v>10807.29</v>
      </c>
      <c r="BN100" s="87" t="s">
        <v>341</v>
      </c>
      <c r="BO100" s="87" t="s">
        <v>341</v>
      </c>
      <c r="BP100" s="71">
        <f>31650.66+2925.38</f>
        <v>34576.04</v>
      </c>
      <c r="BQ100" s="32">
        <f t="shared" si="119"/>
        <v>68.75</v>
      </c>
      <c r="BR100" s="32">
        <f t="shared" si="120"/>
        <v>10876.04</v>
      </c>
      <c r="BS100" s="87" t="s">
        <v>341</v>
      </c>
      <c r="BT100" s="87" t="s">
        <v>341</v>
      </c>
      <c r="BU100" s="33"/>
      <c r="BV100" s="34">
        <f t="shared" si="121"/>
        <v>10995.792999999998</v>
      </c>
      <c r="BW100" s="72"/>
      <c r="BY100" s="82"/>
      <c r="BZ100" s="82"/>
      <c r="CC100" s="37"/>
      <c r="CD100" s="71">
        <v>22568.11</v>
      </c>
    </row>
    <row r="101" spans="1:82" s="77" customFormat="1" ht="18" customHeight="1" x14ac:dyDescent="0.25">
      <c r="A101" s="99" t="s">
        <v>58</v>
      </c>
      <c r="B101" s="100"/>
      <c r="C101" s="101"/>
      <c r="D101" s="93"/>
      <c r="E101" s="53"/>
      <c r="F101" s="68" t="s">
        <v>342</v>
      </c>
      <c r="G101" s="106">
        <v>21000</v>
      </c>
      <c r="H101" s="106">
        <v>21000</v>
      </c>
      <c r="I101" s="106">
        <v>13600</v>
      </c>
      <c r="J101" s="70" t="s">
        <v>343</v>
      </c>
      <c r="K101" s="106">
        <v>19047.52</v>
      </c>
      <c r="L101" s="106">
        <v>7354.81</v>
      </c>
      <c r="M101" s="106">
        <f t="shared" si="186"/>
        <v>7354.81</v>
      </c>
      <c r="N101" s="106">
        <f>M101*2</f>
        <v>14709.62</v>
      </c>
      <c r="O101" s="106">
        <f>N101</f>
        <v>14709.62</v>
      </c>
      <c r="P101" s="106">
        <f t="shared" si="187"/>
        <v>1109.6200000000008</v>
      </c>
      <c r="Q101" s="106">
        <v>12451.21</v>
      </c>
      <c r="R101" s="106"/>
      <c r="S101" s="106">
        <f>Q101+5500</f>
        <v>17951.21</v>
      </c>
      <c r="T101" s="106">
        <f t="shared" si="90"/>
        <v>4351.2099999999991</v>
      </c>
      <c r="U101" s="107">
        <f t="shared" si="91"/>
        <v>-1096.3100000000013</v>
      </c>
      <c r="V101" s="106">
        <f t="shared" si="92"/>
        <v>3241.5899999999983</v>
      </c>
      <c r="W101" s="108" t="s">
        <v>344</v>
      </c>
      <c r="X101" s="109">
        <f>(13542.77+1273.8)/11*12</f>
        <v>16163.53090909091</v>
      </c>
      <c r="Y101" s="24">
        <f t="shared" si="93"/>
        <v>-1787.6790909090887</v>
      </c>
      <c r="Z101" s="85">
        <v>17133</v>
      </c>
      <c r="AA101" s="29">
        <f t="shared" si="188"/>
        <v>3533</v>
      </c>
      <c r="AB101" s="29">
        <f t="shared" si="189"/>
        <v>-818.20999999999913</v>
      </c>
      <c r="AC101" s="72" t="s">
        <v>309</v>
      </c>
      <c r="AD101" s="72">
        <f t="shared" si="190"/>
        <v>-409.10499999999956</v>
      </c>
      <c r="AE101" s="72"/>
      <c r="AF101" s="72"/>
      <c r="AG101" s="72"/>
      <c r="AH101" s="85">
        <f>Z101</f>
        <v>17133</v>
      </c>
      <c r="AI101" s="85">
        <f>12782.27/7*12</f>
        <v>21912.462857142858</v>
      </c>
      <c r="AJ101" s="85">
        <f t="shared" si="191"/>
        <v>0</v>
      </c>
      <c r="AK101" s="86">
        <v>20840.759466666666</v>
      </c>
      <c r="AL101" s="123">
        <f>17681.56+(437.4*1.22)</f>
        <v>18215.188000000002</v>
      </c>
      <c r="AM101" s="27">
        <f t="shared" si="116"/>
        <v>-3697.2748571428565</v>
      </c>
      <c r="AN101" s="61">
        <f t="shared" si="117"/>
        <v>1082.1880000000019</v>
      </c>
      <c r="AO101" s="62">
        <f t="shared" si="118"/>
        <v>4779.4628571428584</v>
      </c>
      <c r="AQ101" s="71" t="s">
        <v>106</v>
      </c>
      <c r="AR101" s="71" t="s">
        <v>345</v>
      </c>
      <c r="AS101" s="71" t="s">
        <v>106</v>
      </c>
      <c r="AT101" s="86">
        <f>AL101*102.3%</f>
        <v>18634.137323999999</v>
      </c>
      <c r="AU101" s="71">
        <v>18673.54</v>
      </c>
      <c r="AV101" s="71">
        <f t="shared" si="192"/>
        <v>18700</v>
      </c>
      <c r="AW101" s="71">
        <f t="shared" si="193"/>
        <v>1567</v>
      </c>
      <c r="AX101" s="76">
        <f t="shared" si="194"/>
        <v>1501.1373239999994</v>
      </c>
      <c r="AY101" s="76">
        <f t="shared" si="195"/>
        <v>418.94932399999743</v>
      </c>
      <c r="AZ101" s="145" t="s">
        <v>300</v>
      </c>
      <c r="BE101" s="71">
        <v>18700</v>
      </c>
      <c r="BF101" s="71">
        <f>12424.1/7*12</f>
        <v>21298.457142857143</v>
      </c>
      <c r="BG101" s="78">
        <f t="shared" si="196"/>
        <v>0</v>
      </c>
      <c r="BH101" s="71">
        <v>18534.906666666669</v>
      </c>
      <c r="BI101" s="33">
        <f t="shared" si="197"/>
        <v>2598.4571428571435</v>
      </c>
      <c r="BJ101" s="33">
        <f t="shared" si="198"/>
        <v>2624.9171428571426</v>
      </c>
      <c r="BK101" s="71">
        <v>18270.653000000002</v>
      </c>
      <c r="BL101" s="79">
        <f t="shared" si="199"/>
        <v>-264.25366666666741</v>
      </c>
      <c r="BM101" s="79">
        <f t="shared" si="200"/>
        <v>-429.34699999999793</v>
      </c>
      <c r="BN101" s="87" t="s">
        <v>108</v>
      </c>
      <c r="BO101" s="87" t="s">
        <v>346</v>
      </c>
      <c r="BP101" s="71">
        <v>18151.13</v>
      </c>
      <c r="BQ101" s="32">
        <f t="shared" si="119"/>
        <v>-119.52300000000105</v>
      </c>
      <c r="BR101" s="32">
        <f t="shared" si="120"/>
        <v>-548.86999999999898</v>
      </c>
      <c r="BS101" s="32"/>
      <c r="BT101" s="87" t="s">
        <v>110</v>
      </c>
      <c r="BU101" s="33"/>
      <c r="BV101" s="34">
        <f t="shared" si="121"/>
        <v>-165.09333333333052</v>
      </c>
      <c r="BY101" s="82"/>
      <c r="BZ101" s="82"/>
      <c r="CC101" s="37"/>
      <c r="CD101" s="71">
        <v>18673.54</v>
      </c>
    </row>
    <row r="102" spans="1:82" s="77" customFormat="1" ht="18" customHeight="1" x14ac:dyDescent="0.25">
      <c r="A102" s="99" t="s">
        <v>58</v>
      </c>
      <c r="B102" s="100"/>
      <c r="C102" s="101"/>
      <c r="D102" s="93"/>
      <c r="E102" s="53"/>
      <c r="F102" s="68" t="s">
        <v>347</v>
      </c>
      <c r="G102" s="106">
        <v>2800</v>
      </c>
      <c r="H102" s="106">
        <v>10000</v>
      </c>
      <c r="I102" s="106">
        <v>9400</v>
      </c>
      <c r="J102" s="70" t="s">
        <v>348</v>
      </c>
      <c r="K102" s="106">
        <v>9117.73</v>
      </c>
      <c r="L102" s="106">
        <v>5520.58</v>
      </c>
      <c r="M102" s="106">
        <f t="shared" si="186"/>
        <v>5520.58</v>
      </c>
      <c r="N102" s="106">
        <f>M102*2</f>
        <v>11041.16</v>
      </c>
      <c r="O102" s="106">
        <f>I102</f>
        <v>9400</v>
      </c>
      <c r="P102" s="106">
        <f t="shared" si="187"/>
        <v>1641.1599999999999</v>
      </c>
      <c r="Q102" s="106">
        <f>10921.98-2196</f>
        <v>8725.98</v>
      </c>
      <c r="R102" s="106"/>
      <c r="S102" s="106">
        <f>Q102-1364.13-909.63+2000</f>
        <v>8452.2199999999993</v>
      </c>
      <c r="T102" s="106">
        <f t="shared" si="90"/>
        <v>-947.78000000000065</v>
      </c>
      <c r="U102" s="107">
        <f t="shared" si="91"/>
        <v>-665.51000000000022</v>
      </c>
      <c r="V102" s="106">
        <f t="shared" si="92"/>
        <v>-947.78000000000065</v>
      </c>
      <c r="W102" s="108" t="s">
        <v>349</v>
      </c>
      <c r="X102" s="109">
        <f>9269.94-2273.76</f>
        <v>6996.18</v>
      </c>
      <c r="Y102" s="24">
        <f t="shared" si="93"/>
        <v>-1456.0399999999991</v>
      </c>
      <c r="Z102" s="85">
        <v>12760</v>
      </c>
      <c r="AA102" s="29">
        <f t="shared" si="188"/>
        <v>3360</v>
      </c>
      <c r="AB102" s="29">
        <f t="shared" si="189"/>
        <v>4307.7800000000007</v>
      </c>
      <c r="AC102" s="72" t="s">
        <v>350</v>
      </c>
      <c r="AD102" s="72">
        <f t="shared" si="190"/>
        <v>2153.8900000000003</v>
      </c>
      <c r="AE102" s="72"/>
      <c r="AF102" s="72"/>
      <c r="AG102" s="72"/>
      <c r="AH102" s="85">
        <f>Z102</f>
        <v>12760</v>
      </c>
      <c r="AI102" s="85">
        <f>(3806.05-414.08)/7*12</f>
        <v>5814.8057142857142</v>
      </c>
      <c r="AJ102" s="85">
        <f t="shared" si="191"/>
        <v>0</v>
      </c>
      <c r="AK102" s="86">
        <v>5365.24</v>
      </c>
      <c r="AL102" s="123">
        <f>(4447.01-414.08)/11*12</f>
        <v>4399.5600000000004</v>
      </c>
      <c r="AM102" s="27">
        <f t="shared" si="116"/>
        <v>-1415.2457142857138</v>
      </c>
      <c r="AN102" s="61">
        <f t="shared" si="117"/>
        <v>-8360.4399999999987</v>
      </c>
      <c r="AO102" s="62">
        <f t="shared" si="118"/>
        <v>-6945.1942857142858</v>
      </c>
      <c r="AQ102" s="71" t="s">
        <v>351</v>
      </c>
      <c r="AR102" s="71" t="s">
        <v>352</v>
      </c>
      <c r="AS102" s="71" t="s">
        <v>351</v>
      </c>
      <c r="AT102" s="86">
        <f>AL102*102.3%</f>
        <v>4500.7498800000003</v>
      </c>
      <c r="AU102" s="71">
        <v>4032.92</v>
      </c>
      <c r="AV102" s="71">
        <f t="shared" si="192"/>
        <v>4600</v>
      </c>
      <c r="AW102" s="71">
        <f t="shared" si="193"/>
        <v>-8160</v>
      </c>
      <c r="AX102" s="76">
        <f t="shared" si="194"/>
        <v>-8259.2501200000006</v>
      </c>
      <c r="AY102" s="76">
        <f t="shared" si="195"/>
        <v>101.1898799999999</v>
      </c>
      <c r="AZ102" s="145" t="s">
        <v>300</v>
      </c>
      <c r="BE102" s="71">
        <v>4600</v>
      </c>
      <c r="BF102" s="71">
        <f>2431.1/7*12</f>
        <v>4167.6000000000004</v>
      </c>
      <c r="BG102" s="78">
        <f t="shared" si="196"/>
        <v>0</v>
      </c>
      <c r="BH102" s="71">
        <f>BF102</f>
        <v>4167.6000000000004</v>
      </c>
      <c r="BI102" s="33">
        <f t="shared" si="197"/>
        <v>-432.39999999999964</v>
      </c>
      <c r="BJ102" s="33">
        <f t="shared" si="198"/>
        <v>134.68000000000029</v>
      </c>
      <c r="BK102" s="71">
        <v>7594.06</v>
      </c>
      <c r="BL102" s="79">
        <f t="shared" si="199"/>
        <v>3426.46</v>
      </c>
      <c r="BM102" s="79">
        <f t="shared" si="200"/>
        <v>2994.0600000000004</v>
      </c>
      <c r="BN102" s="87" t="s">
        <v>110</v>
      </c>
      <c r="BO102" s="87" t="s">
        <v>346</v>
      </c>
      <c r="BP102" s="71">
        <v>8521.26</v>
      </c>
      <c r="BQ102" s="32">
        <f t="shared" si="119"/>
        <v>927.19999999999982</v>
      </c>
      <c r="BR102" s="32">
        <f t="shared" si="120"/>
        <v>3921.26</v>
      </c>
      <c r="BS102" s="32"/>
      <c r="BT102" s="87" t="s">
        <v>110</v>
      </c>
      <c r="BU102" s="33"/>
      <c r="BV102" s="34">
        <f t="shared" si="121"/>
        <v>-432.39999999999964</v>
      </c>
      <c r="BY102" s="82"/>
      <c r="BZ102" s="82"/>
      <c r="CC102" s="37"/>
      <c r="CD102" s="71">
        <v>4032.92</v>
      </c>
    </row>
    <row r="103" spans="1:82" s="77" customFormat="1" ht="18" customHeight="1" x14ac:dyDescent="0.25">
      <c r="A103" s="99" t="s">
        <v>58</v>
      </c>
      <c r="B103" s="100"/>
      <c r="C103" s="101"/>
      <c r="D103" s="93"/>
      <c r="E103" s="53"/>
      <c r="F103" s="68" t="s">
        <v>353</v>
      </c>
      <c r="G103" s="106">
        <v>2000</v>
      </c>
      <c r="H103" s="106">
        <v>2000</v>
      </c>
      <c r="I103" s="106">
        <v>1000</v>
      </c>
      <c r="J103" s="70" t="s">
        <v>354</v>
      </c>
      <c r="K103" s="106">
        <v>1817.02</v>
      </c>
      <c r="L103" s="106">
        <v>854.24</v>
      </c>
      <c r="M103" s="106">
        <f t="shared" si="186"/>
        <v>854.24</v>
      </c>
      <c r="N103" s="106">
        <f>M103*2</f>
        <v>1708.48</v>
      </c>
      <c r="O103" s="106">
        <f>N103</f>
        <v>1708.48</v>
      </c>
      <c r="P103" s="106">
        <f t="shared" si="187"/>
        <v>708.48</v>
      </c>
      <c r="Q103" s="106">
        <f>1028.81-51.24</f>
        <v>977.56999999999994</v>
      </c>
      <c r="R103" s="106"/>
      <c r="S103" s="106">
        <f>Q103/9*12</f>
        <v>1303.4266666666665</v>
      </c>
      <c r="T103" s="106">
        <f t="shared" si="90"/>
        <v>303.42666666666651</v>
      </c>
      <c r="U103" s="107">
        <f t="shared" si="91"/>
        <v>-513.59333333333348</v>
      </c>
      <c r="V103" s="106">
        <f t="shared" si="92"/>
        <v>-405.05333333333351</v>
      </c>
      <c r="W103" s="108"/>
      <c r="X103" s="109">
        <f>2135.99/11*12</f>
        <v>2330.1709090909089</v>
      </c>
      <c r="Y103" s="24">
        <f t="shared" si="93"/>
        <v>1026.7442424242424</v>
      </c>
      <c r="Z103" s="85">
        <v>2467</v>
      </c>
      <c r="AA103" s="29">
        <f t="shared" si="188"/>
        <v>1467</v>
      </c>
      <c r="AB103" s="29">
        <f t="shared" si="189"/>
        <v>1163.5733333333335</v>
      </c>
      <c r="AC103" s="72" t="s">
        <v>309</v>
      </c>
      <c r="AD103" s="72">
        <f t="shared" si="190"/>
        <v>581.78666666666675</v>
      </c>
      <c r="AE103" s="72"/>
      <c r="AF103" s="72"/>
      <c r="AG103" s="72"/>
      <c r="AH103" s="85">
        <f>Z103</f>
        <v>2467</v>
      </c>
      <c r="AI103" s="85">
        <f>2074.68/7*12</f>
        <v>3556.5942857142854</v>
      </c>
      <c r="AJ103" s="85">
        <f t="shared" si="191"/>
        <v>0</v>
      </c>
      <c r="AK103" s="86">
        <v>3373.8666666666668</v>
      </c>
      <c r="AL103" s="123">
        <f>(2565.39+102.48)/11*12</f>
        <v>2910.4036363636365</v>
      </c>
      <c r="AM103" s="27">
        <f t="shared" si="116"/>
        <v>-646.19064935064898</v>
      </c>
      <c r="AN103" s="61">
        <f t="shared" si="117"/>
        <v>443.40363636363645</v>
      </c>
      <c r="AO103" s="62">
        <f t="shared" si="118"/>
        <v>1089.5942857142854</v>
      </c>
      <c r="AQ103" s="71" t="s">
        <v>106</v>
      </c>
      <c r="AR103" s="71" t="s">
        <v>107</v>
      </c>
      <c r="AS103" s="71" t="s">
        <v>106</v>
      </c>
      <c r="AT103" s="86">
        <f>AL103*102.3%</f>
        <v>2977.34292</v>
      </c>
      <c r="AU103" s="71">
        <v>2565.39</v>
      </c>
      <c r="AV103" s="71">
        <f t="shared" si="192"/>
        <v>3000</v>
      </c>
      <c r="AW103" s="71">
        <f t="shared" si="193"/>
        <v>533</v>
      </c>
      <c r="AX103" s="76">
        <f t="shared" si="194"/>
        <v>510.34292000000005</v>
      </c>
      <c r="AY103" s="76">
        <f t="shared" si="195"/>
        <v>66.939283636363598</v>
      </c>
      <c r="AZ103" s="145" t="s">
        <v>300</v>
      </c>
      <c r="BE103" s="71">
        <v>3000</v>
      </c>
      <c r="BF103" s="71">
        <f>((9538.72-3977.05-2307.14)/7*12)+3977.05+2307.14+(4080*1.22)</f>
        <v>16840.984285714283</v>
      </c>
      <c r="BG103" s="78">
        <f t="shared" si="196"/>
        <v>0</v>
      </c>
      <c r="BH103" s="71">
        <f>BF103</f>
        <v>16840.984285714283</v>
      </c>
      <c r="BI103" s="33">
        <f t="shared" si="197"/>
        <v>13840.984285714283</v>
      </c>
      <c r="BJ103" s="33">
        <f t="shared" si="198"/>
        <v>14275.594285714284</v>
      </c>
      <c r="BK103" s="71">
        <v>19723.77</v>
      </c>
      <c r="BL103" s="79">
        <f t="shared" si="199"/>
        <v>2882.7857142857174</v>
      </c>
      <c r="BM103" s="79">
        <f t="shared" si="200"/>
        <v>16723.77</v>
      </c>
      <c r="BN103" s="87" t="s">
        <v>355</v>
      </c>
      <c r="BO103" s="87" t="s">
        <v>355</v>
      </c>
      <c r="BP103" s="71">
        <v>19782.87</v>
      </c>
      <c r="BQ103" s="32">
        <f t="shared" si="119"/>
        <v>59.099999999998545</v>
      </c>
      <c r="BR103" s="32">
        <f t="shared" si="120"/>
        <v>16782.87</v>
      </c>
      <c r="BS103" s="87" t="s">
        <v>355</v>
      </c>
      <c r="BT103" s="87" t="s">
        <v>355</v>
      </c>
      <c r="BU103" s="33"/>
      <c r="BV103" s="34">
        <f t="shared" si="121"/>
        <v>13840.984285714283</v>
      </c>
      <c r="BW103" s="147">
        <f>3977.05+2307.14+(4080*1.22)</f>
        <v>11261.79</v>
      </c>
      <c r="BY103" s="82"/>
      <c r="BZ103" s="82"/>
      <c r="CC103" s="37"/>
      <c r="CD103" s="71">
        <v>2565.39</v>
      </c>
    </row>
    <row r="104" spans="1:82" s="63" customFormat="1" ht="18" customHeight="1" x14ac:dyDescent="0.25">
      <c r="A104" s="96" t="s">
        <v>58</v>
      </c>
      <c r="B104" s="97"/>
      <c r="C104" s="98"/>
      <c r="D104" s="103"/>
      <c r="E104" s="98" t="s">
        <v>356</v>
      </c>
      <c r="F104" s="105"/>
      <c r="G104" s="55">
        <v>68000</v>
      </c>
      <c r="H104" s="55">
        <v>64500</v>
      </c>
      <c r="I104" s="55">
        <f t="shared" ref="I104:Q104" si="201">SUM(I105:I111)</f>
        <v>68100</v>
      </c>
      <c r="J104" s="55">
        <f t="shared" si="201"/>
        <v>0</v>
      </c>
      <c r="K104" s="55">
        <f t="shared" si="201"/>
        <v>61350.570000000007</v>
      </c>
      <c r="L104" s="55">
        <f t="shared" si="201"/>
        <v>32189.81</v>
      </c>
      <c r="M104" s="55">
        <f t="shared" si="201"/>
        <v>34975.760000000002</v>
      </c>
      <c r="N104" s="55">
        <f t="shared" si="201"/>
        <v>71124.02</v>
      </c>
      <c r="O104" s="55">
        <f t="shared" si="201"/>
        <v>71124.02</v>
      </c>
      <c r="P104" s="55">
        <f t="shared" si="201"/>
        <v>3024.0199999999995</v>
      </c>
      <c r="Q104" s="55">
        <f t="shared" si="201"/>
        <v>43146.079999999994</v>
      </c>
      <c r="R104" s="55"/>
      <c r="S104" s="55">
        <f>SUM(S105:S111)</f>
        <v>58993.903333333335</v>
      </c>
      <c r="T104" s="55">
        <f t="shared" si="90"/>
        <v>-9106.0966666666645</v>
      </c>
      <c r="U104" s="56">
        <f t="shared" si="91"/>
        <v>-2356.6666666666715</v>
      </c>
      <c r="V104" s="55">
        <f t="shared" si="92"/>
        <v>-12130.116666666669</v>
      </c>
      <c r="W104" s="57"/>
      <c r="X104" s="58">
        <f>SUM(X105:X111)</f>
        <v>58825.209090909091</v>
      </c>
      <c r="Y104" s="59">
        <f t="shared" si="93"/>
        <v>-168.69424242424429</v>
      </c>
      <c r="Z104" s="33">
        <f t="shared" ref="Z104:AL104" si="202">SUM(Z105:Z111)</f>
        <v>62355</v>
      </c>
      <c r="AA104" s="33">
        <f t="shared" si="202"/>
        <v>-5745</v>
      </c>
      <c r="AB104" s="33">
        <f t="shared" si="202"/>
        <v>3361.0966666666664</v>
      </c>
      <c r="AC104" s="33">
        <f t="shared" si="202"/>
        <v>0</v>
      </c>
      <c r="AD104" s="33">
        <f t="shared" si="202"/>
        <v>1680.5483333333332</v>
      </c>
      <c r="AE104" s="33">
        <f t="shared" si="202"/>
        <v>0</v>
      </c>
      <c r="AF104" s="33">
        <f t="shared" si="202"/>
        <v>0</v>
      </c>
      <c r="AG104" s="33">
        <f t="shared" si="202"/>
        <v>0</v>
      </c>
      <c r="AH104" s="33">
        <f t="shared" si="202"/>
        <v>62355</v>
      </c>
      <c r="AI104" s="33">
        <f t="shared" si="202"/>
        <v>73525.073857142852</v>
      </c>
      <c r="AJ104" s="33">
        <f t="shared" si="202"/>
        <v>0</v>
      </c>
      <c r="AK104" s="60">
        <f t="shared" si="202"/>
        <v>71067.643333333341</v>
      </c>
      <c r="AL104" s="33">
        <f t="shared" si="202"/>
        <v>69073.930272727273</v>
      </c>
      <c r="AM104" s="27">
        <f t="shared" si="116"/>
        <v>-4451.1435844155785</v>
      </c>
      <c r="AN104" s="61">
        <f t="shared" si="117"/>
        <v>6718.9302727272734</v>
      </c>
      <c r="AO104" s="62">
        <f t="shared" si="118"/>
        <v>11170.073857142852</v>
      </c>
      <c r="AQ104" s="33"/>
      <c r="AR104" s="33"/>
      <c r="AS104" s="33"/>
      <c r="AT104" s="60">
        <f t="shared" ref="AT104:BP104" si="203">SUM(AT105:AT111)</f>
        <v>70662.630668999991</v>
      </c>
      <c r="AU104" s="33">
        <f t="shared" si="203"/>
        <v>67681.63</v>
      </c>
      <c r="AV104" s="33">
        <f t="shared" si="203"/>
        <v>71000</v>
      </c>
      <c r="AW104" s="33">
        <f t="shared" si="203"/>
        <v>8645</v>
      </c>
      <c r="AX104" s="33">
        <f t="shared" si="203"/>
        <v>8307.6306689999965</v>
      </c>
      <c r="AY104" s="33">
        <f t="shared" si="203"/>
        <v>1588.7003962727188</v>
      </c>
      <c r="AZ104" s="33">
        <f t="shared" si="203"/>
        <v>0</v>
      </c>
      <c r="BA104" s="33">
        <f t="shared" si="203"/>
        <v>0</v>
      </c>
      <c r="BB104" s="33">
        <f t="shared" si="203"/>
        <v>0</v>
      </c>
      <c r="BC104" s="33">
        <f t="shared" si="203"/>
        <v>0</v>
      </c>
      <c r="BD104" s="33">
        <f t="shared" si="203"/>
        <v>0</v>
      </c>
      <c r="BE104" s="33">
        <f t="shared" si="203"/>
        <v>71000</v>
      </c>
      <c r="BF104" s="33">
        <f t="shared" si="203"/>
        <v>63770.686000000002</v>
      </c>
      <c r="BG104" s="33">
        <f t="shared" si="203"/>
        <v>0</v>
      </c>
      <c r="BH104" s="33">
        <f t="shared" si="203"/>
        <v>63770.686000000002</v>
      </c>
      <c r="BI104" s="33">
        <f t="shared" si="203"/>
        <v>-7229.3140000000003</v>
      </c>
      <c r="BJ104" s="33">
        <f t="shared" si="203"/>
        <v>-3910.9440000000013</v>
      </c>
      <c r="BK104" s="33">
        <f t="shared" si="203"/>
        <v>59256.838181818188</v>
      </c>
      <c r="BL104" s="33">
        <f t="shared" si="203"/>
        <v>-4513.8478181818155</v>
      </c>
      <c r="BM104" s="33">
        <f t="shared" si="203"/>
        <v>-11743.161818181814</v>
      </c>
      <c r="BN104" s="33">
        <f t="shared" si="203"/>
        <v>0</v>
      </c>
      <c r="BO104" s="33">
        <f t="shared" si="203"/>
        <v>0</v>
      </c>
      <c r="BP104" s="33">
        <f t="shared" si="203"/>
        <v>59275.02</v>
      </c>
      <c r="BQ104" s="32">
        <f t="shared" si="119"/>
        <v>18.181818181808922</v>
      </c>
      <c r="BR104" s="32">
        <f t="shared" si="120"/>
        <v>-11724.980000000003</v>
      </c>
      <c r="BS104" s="32"/>
      <c r="BT104" s="32"/>
      <c r="BU104" s="33"/>
      <c r="BV104" s="34">
        <f t="shared" si="121"/>
        <v>-7229.3139999999985</v>
      </c>
      <c r="BY104" s="64"/>
      <c r="BZ104" s="64"/>
      <c r="CC104" s="37"/>
      <c r="CD104" s="33">
        <f>SUM(CD105:CD111)</f>
        <v>67681.63</v>
      </c>
    </row>
    <row r="105" spans="1:82" s="77" customFormat="1" ht="18" customHeight="1" x14ac:dyDescent="0.25">
      <c r="A105" s="99" t="s">
        <v>58</v>
      </c>
      <c r="B105" s="100"/>
      <c r="C105" s="101"/>
      <c r="D105" s="93"/>
      <c r="E105" s="98"/>
      <c r="F105" s="68" t="s">
        <v>357</v>
      </c>
      <c r="G105" s="106">
        <v>25000</v>
      </c>
      <c r="H105" s="106">
        <v>25000</v>
      </c>
      <c r="I105" s="106">
        <v>20000</v>
      </c>
      <c r="J105" s="70" t="s">
        <v>358</v>
      </c>
      <c r="K105" s="106">
        <v>22970.22</v>
      </c>
      <c r="L105" s="106">
        <v>9606.32</v>
      </c>
      <c r="M105" s="106">
        <f>L105</f>
        <v>9606.32</v>
      </c>
      <c r="N105" s="106">
        <f>M105*2</f>
        <v>19212.64</v>
      </c>
      <c r="O105" s="106">
        <f>N105</f>
        <v>19212.64</v>
      </c>
      <c r="P105" s="106">
        <f t="shared" ref="P105:P111" si="204">N105-I105</f>
        <v>-787.36000000000058</v>
      </c>
      <c r="Q105" s="106">
        <v>13546.16</v>
      </c>
      <c r="R105" s="106"/>
      <c r="S105" s="106">
        <f>I105</f>
        <v>20000</v>
      </c>
      <c r="T105" s="106">
        <f t="shared" si="90"/>
        <v>0</v>
      </c>
      <c r="U105" s="107">
        <f t="shared" si="91"/>
        <v>-2970.2200000000012</v>
      </c>
      <c r="V105" s="106">
        <f t="shared" si="92"/>
        <v>787.36000000000058</v>
      </c>
      <c r="W105" s="108"/>
      <c r="X105" s="109">
        <f>18481.59/11*12</f>
        <v>20161.734545454547</v>
      </c>
      <c r="Y105" s="24">
        <f t="shared" si="93"/>
        <v>161.73454545454661</v>
      </c>
      <c r="Z105" s="85">
        <v>21371</v>
      </c>
      <c r="AA105" s="29">
        <f t="shared" ref="AA105:AA111" si="205">Z105-I105</f>
        <v>1371</v>
      </c>
      <c r="AB105" s="29">
        <f t="shared" ref="AB105:AB111" si="206">Z105-S105</f>
        <v>1371</v>
      </c>
      <c r="AC105" s="72" t="s">
        <v>309</v>
      </c>
      <c r="AD105" s="72">
        <f t="shared" ref="AD105:AD111" si="207">AB105/2</f>
        <v>685.5</v>
      </c>
      <c r="AE105" s="72"/>
      <c r="AF105" s="72"/>
      <c r="AG105" s="72"/>
      <c r="AH105" s="85">
        <f t="shared" ref="AH105:AH111" si="208">Z105</f>
        <v>21371</v>
      </c>
      <c r="AI105" s="85">
        <f>Z105</f>
        <v>21371</v>
      </c>
      <c r="AJ105" s="85">
        <f t="shared" ref="AJ105:AJ111" si="209">AH105-Z105</f>
        <v>0</v>
      </c>
      <c r="AK105" s="86">
        <v>21371</v>
      </c>
      <c r="AL105" s="123">
        <f>(13560.7-102.48+722.2)/11.5*12</f>
        <v>14796.960000000003</v>
      </c>
      <c r="AM105" s="27">
        <f t="shared" si="116"/>
        <v>-6574.0399999999972</v>
      </c>
      <c r="AN105" s="61">
        <f t="shared" si="117"/>
        <v>-6574.0399999999972</v>
      </c>
      <c r="AO105" s="62">
        <f t="shared" si="118"/>
        <v>0</v>
      </c>
      <c r="AQ105" s="71" t="s">
        <v>359</v>
      </c>
      <c r="AR105" s="71" t="s">
        <v>360</v>
      </c>
      <c r="AS105" s="71" t="s">
        <v>359</v>
      </c>
      <c r="AT105" s="86">
        <f t="shared" ref="AT105:AT111" si="210">AL105*102.3%</f>
        <v>15137.290080000001</v>
      </c>
      <c r="AU105" s="71">
        <v>14276.69</v>
      </c>
      <c r="AV105" s="71">
        <f t="shared" ref="AV105:AV111" si="211">CEILING(AT105,100)</f>
        <v>15200</v>
      </c>
      <c r="AW105" s="71">
        <f t="shared" ref="AW105:AW111" si="212">AV105-Z105</f>
        <v>-6171</v>
      </c>
      <c r="AX105" s="76">
        <f t="shared" ref="AX105:AX111" si="213">AT105-Z105</f>
        <v>-6233.7099199999993</v>
      </c>
      <c r="AY105" s="76">
        <f t="shared" ref="AY105:AY111" si="214">AT105-AL105</f>
        <v>340.33007999999791</v>
      </c>
      <c r="AZ105" s="145" t="s">
        <v>300</v>
      </c>
      <c r="BE105" s="71">
        <v>15200</v>
      </c>
      <c r="BF105" s="71">
        <f>11030.12/7*12</f>
        <v>18908.777142857143</v>
      </c>
      <c r="BG105" s="78">
        <f t="shared" ref="BG105:BG111" si="215">BE105-AV105</f>
        <v>0</v>
      </c>
      <c r="BH105" s="71">
        <f t="shared" ref="BH105:BH111" si="216">BF105</f>
        <v>18908.777142857143</v>
      </c>
      <c r="BI105" s="33">
        <f t="shared" ref="BI105:BI111" si="217">BF105-AV105</f>
        <v>3708.7771428571432</v>
      </c>
      <c r="BJ105" s="33">
        <f t="shared" ref="BJ105:BJ111" si="218">BF105-AU105</f>
        <v>4632.0871428571427</v>
      </c>
      <c r="BK105" s="71">
        <f>12805.28/11*12</f>
        <v>13969.396363636366</v>
      </c>
      <c r="BL105" s="79">
        <f t="shared" ref="BL105:BL111" si="219">BK105-BH105</f>
        <v>-4939.3807792207772</v>
      </c>
      <c r="BM105" s="79">
        <f t="shared" ref="BM105:BM111" si="220">BK105-AV105</f>
        <v>-1230.603636363634</v>
      </c>
      <c r="BN105" s="87" t="s">
        <v>110</v>
      </c>
      <c r="BO105" s="91" t="s">
        <v>109</v>
      </c>
      <c r="BP105" s="71">
        <v>12982.58</v>
      </c>
      <c r="BQ105" s="32">
        <f t="shared" si="119"/>
        <v>-986.81636363636608</v>
      </c>
      <c r="BR105" s="32">
        <f t="shared" si="120"/>
        <v>-2217.42</v>
      </c>
      <c r="BS105" s="92"/>
      <c r="BT105" s="87" t="s">
        <v>110</v>
      </c>
      <c r="BU105" s="33"/>
      <c r="BV105" s="34">
        <f t="shared" si="121"/>
        <v>3708.7771428571432</v>
      </c>
      <c r="BY105" s="82"/>
      <c r="BZ105" s="82"/>
      <c r="CC105" s="37"/>
      <c r="CD105" s="71">
        <v>14276.69</v>
      </c>
    </row>
    <row r="106" spans="1:82" s="77" customFormat="1" ht="18" customHeight="1" x14ac:dyDescent="0.25">
      <c r="A106" s="99" t="s">
        <v>58</v>
      </c>
      <c r="B106" s="100"/>
      <c r="C106" s="101"/>
      <c r="D106" s="93"/>
      <c r="E106" s="98"/>
      <c r="F106" s="121" t="s">
        <v>361</v>
      </c>
      <c r="G106" s="106">
        <v>18400</v>
      </c>
      <c r="H106" s="106">
        <v>13400</v>
      </c>
      <c r="I106" s="106">
        <v>16600</v>
      </c>
      <c r="J106" s="70" t="s">
        <v>362</v>
      </c>
      <c r="K106" s="106">
        <v>11658.55</v>
      </c>
      <c r="L106" s="106">
        <v>7713.75</v>
      </c>
      <c r="M106" s="106">
        <f>L106</f>
        <v>7713.75</v>
      </c>
      <c r="N106" s="106">
        <f>I106</f>
        <v>16600</v>
      </c>
      <c r="O106" s="106">
        <f>I106</f>
        <v>16600</v>
      </c>
      <c r="P106" s="106">
        <f t="shared" si="204"/>
        <v>0</v>
      </c>
      <c r="Q106" s="106">
        <v>8548.75</v>
      </c>
      <c r="R106" s="106"/>
      <c r="S106" s="106">
        <f>Q106-350.63-611.22-1374.99-839+500+527.6+532.58</f>
        <v>6933.0900000000011</v>
      </c>
      <c r="T106" s="106">
        <f t="shared" si="90"/>
        <v>-9666.91</v>
      </c>
      <c r="U106" s="107">
        <f t="shared" si="91"/>
        <v>-4725.4599999999982</v>
      </c>
      <c r="V106" s="106">
        <f t="shared" si="92"/>
        <v>-9666.91</v>
      </c>
      <c r="W106" s="108"/>
      <c r="X106" s="109">
        <f>9831.86+30-3175.82</f>
        <v>6686.0400000000009</v>
      </c>
      <c r="Y106" s="24">
        <f t="shared" si="93"/>
        <v>-247.05000000000018</v>
      </c>
      <c r="Z106" s="85">
        <v>7087</v>
      </c>
      <c r="AA106" s="29">
        <f t="shared" si="205"/>
        <v>-9513</v>
      </c>
      <c r="AB106" s="29">
        <f t="shared" si="206"/>
        <v>153.90999999999894</v>
      </c>
      <c r="AC106" s="72" t="s">
        <v>309</v>
      </c>
      <c r="AD106" s="72">
        <f t="shared" si="207"/>
        <v>76.954999999999472</v>
      </c>
      <c r="AE106" s="72"/>
      <c r="AF106" s="72"/>
      <c r="AG106" s="72"/>
      <c r="AH106" s="85">
        <f t="shared" si="208"/>
        <v>7087</v>
      </c>
      <c r="AI106" s="85">
        <f>(11126.95-3358.85)/7*12</f>
        <v>13316.742857142857</v>
      </c>
      <c r="AJ106" s="85">
        <f t="shared" si="209"/>
        <v>0</v>
      </c>
      <c r="AK106" s="86">
        <v>11017.056666666667</v>
      </c>
      <c r="AL106" s="123">
        <f>(12373.54-3358.85)/11*12</f>
        <v>9834.2072727272734</v>
      </c>
      <c r="AM106" s="27">
        <f t="shared" si="116"/>
        <v>-3482.5355844155838</v>
      </c>
      <c r="AN106" s="61">
        <f t="shared" si="117"/>
        <v>2747.2072727272734</v>
      </c>
      <c r="AO106" s="62">
        <f t="shared" si="118"/>
        <v>6229.7428571428572</v>
      </c>
      <c r="AQ106" s="90" t="s">
        <v>106</v>
      </c>
      <c r="AR106" s="90" t="s">
        <v>363</v>
      </c>
      <c r="AS106" s="90" t="s">
        <v>106</v>
      </c>
      <c r="AT106" s="86">
        <f t="shared" si="210"/>
        <v>10060.394039999999</v>
      </c>
      <c r="AU106" s="71">
        <v>9022.42</v>
      </c>
      <c r="AV106" s="71">
        <f t="shared" si="211"/>
        <v>10100</v>
      </c>
      <c r="AW106" s="71">
        <f t="shared" si="212"/>
        <v>3013</v>
      </c>
      <c r="AX106" s="76">
        <f t="shared" si="213"/>
        <v>2973.3940399999992</v>
      </c>
      <c r="AY106" s="76">
        <f t="shared" si="214"/>
        <v>226.18676727272577</v>
      </c>
      <c r="AZ106" s="145" t="s">
        <v>300</v>
      </c>
      <c r="BE106" s="71">
        <v>10100</v>
      </c>
      <c r="BF106" s="71">
        <f>5257.55+(1434.8*1.22)</f>
        <v>7008.0060000000003</v>
      </c>
      <c r="BG106" s="78">
        <f t="shared" si="215"/>
        <v>0</v>
      </c>
      <c r="BH106" s="71">
        <f t="shared" si="216"/>
        <v>7008.0060000000003</v>
      </c>
      <c r="BI106" s="33">
        <f t="shared" si="217"/>
        <v>-3091.9939999999997</v>
      </c>
      <c r="BJ106" s="33">
        <f t="shared" si="218"/>
        <v>-2014.4139999999998</v>
      </c>
      <c r="BK106" s="71">
        <v>7910.2800000000007</v>
      </c>
      <c r="BL106" s="79">
        <f t="shared" si="219"/>
        <v>902.27400000000034</v>
      </c>
      <c r="BM106" s="79">
        <f t="shared" si="220"/>
        <v>-2189.7199999999993</v>
      </c>
      <c r="BN106" s="87" t="s">
        <v>214</v>
      </c>
      <c r="BO106" s="87" t="s">
        <v>346</v>
      </c>
      <c r="BP106" s="71">
        <v>7811.42</v>
      </c>
      <c r="BQ106" s="32">
        <f t="shared" si="119"/>
        <v>-98.860000000000582</v>
      </c>
      <c r="BR106" s="32">
        <f t="shared" si="120"/>
        <v>-2288.58</v>
      </c>
      <c r="BS106" s="32"/>
      <c r="BT106" s="87" t="s">
        <v>214</v>
      </c>
      <c r="BU106" s="33"/>
      <c r="BV106" s="34">
        <f t="shared" si="121"/>
        <v>-3091.9939999999997</v>
      </c>
      <c r="BY106" s="82"/>
      <c r="BZ106" s="82"/>
      <c r="CC106" s="37"/>
      <c r="CD106" s="71">
        <v>9022.42</v>
      </c>
    </row>
    <row r="107" spans="1:82" s="77" customFormat="1" ht="18" customHeight="1" x14ac:dyDescent="0.25">
      <c r="A107" s="99" t="s">
        <v>58</v>
      </c>
      <c r="B107" s="100"/>
      <c r="C107" s="101"/>
      <c r="D107" s="93"/>
      <c r="E107" s="98"/>
      <c r="F107" s="121" t="s">
        <v>364</v>
      </c>
      <c r="G107" s="106">
        <v>4000</v>
      </c>
      <c r="H107" s="106">
        <v>5300</v>
      </c>
      <c r="I107" s="106">
        <v>7200</v>
      </c>
      <c r="J107" s="70" t="s">
        <v>365</v>
      </c>
      <c r="K107" s="106">
        <v>5335.41</v>
      </c>
      <c r="L107" s="106">
        <v>4316.4399999999996</v>
      </c>
      <c r="M107" s="106">
        <f>L107</f>
        <v>4316.4399999999996</v>
      </c>
      <c r="N107" s="106">
        <f>M107*2</f>
        <v>8632.8799999999992</v>
      </c>
      <c r="O107" s="106">
        <f>N107</f>
        <v>8632.8799999999992</v>
      </c>
      <c r="P107" s="106">
        <f t="shared" si="204"/>
        <v>1432.8799999999992</v>
      </c>
      <c r="Q107" s="106">
        <v>6449.78</v>
      </c>
      <c r="R107" s="106"/>
      <c r="S107" s="106">
        <f>Q107/9*12</f>
        <v>8599.7066666666669</v>
      </c>
      <c r="T107" s="106">
        <f t="shared" si="90"/>
        <v>1399.7066666666669</v>
      </c>
      <c r="U107" s="107">
        <f t="shared" si="91"/>
        <v>3264.2966666666671</v>
      </c>
      <c r="V107" s="106">
        <f t="shared" si="92"/>
        <v>-33.173333333332266</v>
      </c>
      <c r="W107" s="108"/>
      <c r="X107" s="109">
        <f>7630.43/11*12</f>
        <v>8324.1054545454554</v>
      </c>
      <c r="Y107" s="24">
        <f t="shared" si="93"/>
        <v>-275.60121212121157</v>
      </c>
      <c r="Z107" s="85">
        <v>8824</v>
      </c>
      <c r="AA107" s="29">
        <f t="shared" si="205"/>
        <v>1624</v>
      </c>
      <c r="AB107" s="29">
        <f t="shared" si="206"/>
        <v>224.29333333333307</v>
      </c>
      <c r="AC107" s="72" t="s">
        <v>309</v>
      </c>
      <c r="AD107" s="72">
        <f t="shared" si="207"/>
        <v>112.14666666666653</v>
      </c>
      <c r="AE107" s="72"/>
      <c r="AF107" s="72"/>
      <c r="AG107" s="72"/>
      <c r="AH107" s="85">
        <f t="shared" si="208"/>
        <v>8824</v>
      </c>
      <c r="AI107" s="85">
        <f>4795.36/7*12</f>
        <v>8220.6171428571433</v>
      </c>
      <c r="AJ107" s="85">
        <f t="shared" si="209"/>
        <v>0</v>
      </c>
      <c r="AK107" s="86">
        <v>8682.8133333333335</v>
      </c>
      <c r="AL107" s="123">
        <f>9361.76+(380*2)</f>
        <v>10121.76</v>
      </c>
      <c r="AM107" s="27">
        <f t="shared" si="116"/>
        <v>1901.1428571428569</v>
      </c>
      <c r="AN107" s="61">
        <f t="shared" si="117"/>
        <v>1297.7600000000002</v>
      </c>
      <c r="AO107" s="62">
        <f t="shared" si="118"/>
        <v>-603.38285714285666</v>
      </c>
      <c r="AQ107" s="90" t="s">
        <v>106</v>
      </c>
      <c r="AR107" s="90" t="s">
        <v>107</v>
      </c>
      <c r="AS107" s="90" t="s">
        <v>106</v>
      </c>
      <c r="AT107" s="86">
        <f t="shared" si="210"/>
        <v>10354.56048</v>
      </c>
      <c r="AU107" s="71">
        <v>10038.620000000001</v>
      </c>
      <c r="AV107" s="71">
        <f t="shared" si="211"/>
        <v>10400</v>
      </c>
      <c r="AW107" s="71">
        <f t="shared" si="212"/>
        <v>1576</v>
      </c>
      <c r="AX107" s="76">
        <f t="shared" si="213"/>
        <v>1530.5604800000001</v>
      </c>
      <c r="AY107" s="76">
        <f t="shared" si="214"/>
        <v>232.80047999999988</v>
      </c>
      <c r="AZ107" s="145" t="s">
        <v>300</v>
      </c>
      <c r="BE107" s="71">
        <v>10400</v>
      </c>
      <c r="BF107" s="71">
        <f>4596.16/7*12</f>
        <v>7879.1314285714279</v>
      </c>
      <c r="BG107" s="78">
        <f t="shared" si="215"/>
        <v>0</v>
      </c>
      <c r="BH107" s="71">
        <f t="shared" si="216"/>
        <v>7879.1314285714279</v>
      </c>
      <c r="BI107" s="33">
        <f t="shared" si="217"/>
        <v>-2520.8685714285721</v>
      </c>
      <c r="BJ107" s="33">
        <f t="shared" si="218"/>
        <v>-2159.4885714285729</v>
      </c>
      <c r="BK107" s="71">
        <f>6561.3/11*12</f>
        <v>7157.7818181818184</v>
      </c>
      <c r="BL107" s="79">
        <f t="shared" si="219"/>
        <v>-721.34961038960955</v>
      </c>
      <c r="BM107" s="79">
        <f t="shared" si="220"/>
        <v>-3242.2181818181816</v>
      </c>
      <c r="BN107" s="87" t="s">
        <v>110</v>
      </c>
      <c r="BO107" s="91" t="s">
        <v>109</v>
      </c>
      <c r="BP107" s="71">
        <v>7141.89</v>
      </c>
      <c r="BQ107" s="32">
        <f t="shared" si="119"/>
        <v>-15.891818181818053</v>
      </c>
      <c r="BR107" s="32">
        <f t="shared" si="120"/>
        <v>-3258.1099999999997</v>
      </c>
      <c r="BS107" s="92"/>
      <c r="BT107" s="87" t="s">
        <v>110</v>
      </c>
      <c r="BU107" s="33"/>
      <c r="BV107" s="34">
        <f t="shared" si="121"/>
        <v>-2520.8685714285721</v>
      </c>
      <c r="BY107" s="82"/>
      <c r="BZ107" s="82"/>
      <c r="CC107" s="37"/>
      <c r="CD107" s="71">
        <v>10038.620000000001</v>
      </c>
    </row>
    <row r="108" spans="1:82" s="77" customFormat="1" ht="18" customHeight="1" x14ac:dyDescent="0.25">
      <c r="A108" s="99" t="s">
        <v>58</v>
      </c>
      <c r="B108" s="100"/>
      <c r="C108" s="101"/>
      <c r="D108" s="93"/>
      <c r="E108" s="98"/>
      <c r="F108" s="121" t="s">
        <v>366</v>
      </c>
      <c r="G108" s="106">
        <v>17100</v>
      </c>
      <c r="H108" s="106">
        <v>17100</v>
      </c>
      <c r="I108" s="106">
        <v>18300</v>
      </c>
      <c r="J108" s="70" t="s">
        <v>367</v>
      </c>
      <c r="K108" s="106">
        <v>14912.59</v>
      </c>
      <c r="L108" s="106">
        <v>10189.35</v>
      </c>
      <c r="M108" s="106">
        <f>L108</f>
        <v>10189.35</v>
      </c>
      <c r="N108" s="106">
        <f>M108*2</f>
        <v>20378.7</v>
      </c>
      <c r="O108" s="106">
        <f>N108</f>
        <v>20378.7</v>
      </c>
      <c r="P108" s="106">
        <f t="shared" si="204"/>
        <v>2078.7000000000007</v>
      </c>
      <c r="Q108" s="106">
        <f>11973.68+2196</f>
        <v>14169.68</v>
      </c>
      <c r="R108" s="106"/>
      <c r="S108" s="106">
        <f>Q108/9*12</f>
        <v>18892.906666666666</v>
      </c>
      <c r="T108" s="106">
        <f t="shared" si="90"/>
        <v>592.90666666666584</v>
      </c>
      <c r="U108" s="107">
        <f t="shared" si="91"/>
        <v>3980.3166666666657</v>
      </c>
      <c r="V108" s="106">
        <f t="shared" si="92"/>
        <v>-1485.7933333333349</v>
      </c>
      <c r="W108" s="108"/>
      <c r="X108" s="109">
        <f>(17500.77/11*12)-512.34</f>
        <v>18579.409090909092</v>
      </c>
      <c r="Y108" s="24">
        <f t="shared" si="93"/>
        <v>-313.49757575757394</v>
      </c>
      <c r="Z108" s="85">
        <v>19694</v>
      </c>
      <c r="AA108" s="29">
        <f t="shared" si="205"/>
        <v>1394</v>
      </c>
      <c r="AB108" s="29">
        <f t="shared" si="206"/>
        <v>801.09333333333416</v>
      </c>
      <c r="AC108" s="72" t="s">
        <v>309</v>
      </c>
      <c r="AD108" s="72">
        <f t="shared" si="207"/>
        <v>400.54666666666708</v>
      </c>
      <c r="AE108" s="72"/>
      <c r="AF108" s="72"/>
      <c r="AG108" s="72"/>
      <c r="AH108" s="85">
        <f t="shared" si="208"/>
        <v>19694</v>
      </c>
      <c r="AI108" s="85">
        <v>23500</v>
      </c>
      <c r="AJ108" s="85">
        <f t="shared" si="209"/>
        <v>0</v>
      </c>
      <c r="AK108" s="86">
        <v>22268.519999999997</v>
      </c>
      <c r="AL108" s="123">
        <f>22868.9-97.9</f>
        <v>22771</v>
      </c>
      <c r="AM108" s="27">
        <f t="shared" si="116"/>
        <v>-729</v>
      </c>
      <c r="AN108" s="61">
        <f t="shared" si="117"/>
        <v>3077</v>
      </c>
      <c r="AO108" s="62">
        <f t="shared" si="118"/>
        <v>3806</v>
      </c>
      <c r="AQ108" s="90" t="s">
        <v>368</v>
      </c>
      <c r="AR108" s="90" t="s">
        <v>256</v>
      </c>
      <c r="AS108" s="90" t="s">
        <v>368</v>
      </c>
      <c r="AT108" s="86">
        <f t="shared" si="210"/>
        <v>23294.732999999997</v>
      </c>
      <c r="AU108" s="71">
        <v>22771</v>
      </c>
      <c r="AV108" s="71">
        <f t="shared" si="211"/>
        <v>23300</v>
      </c>
      <c r="AW108" s="71">
        <f t="shared" si="212"/>
        <v>3606</v>
      </c>
      <c r="AX108" s="76">
        <f t="shared" si="213"/>
        <v>3600.7329999999965</v>
      </c>
      <c r="AY108" s="76">
        <f t="shared" si="214"/>
        <v>523.73299999999654</v>
      </c>
      <c r="AZ108" s="145" t="s">
        <v>300</v>
      </c>
      <c r="BE108" s="71">
        <v>23300</v>
      </c>
      <c r="BF108" s="71">
        <v>19300</v>
      </c>
      <c r="BG108" s="78">
        <f t="shared" si="215"/>
        <v>0</v>
      </c>
      <c r="BH108" s="71">
        <f t="shared" si="216"/>
        <v>19300</v>
      </c>
      <c r="BI108" s="33">
        <f t="shared" si="217"/>
        <v>-4000</v>
      </c>
      <c r="BJ108" s="33">
        <f t="shared" si="218"/>
        <v>-3471</v>
      </c>
      <c r="BK108" s="71">
        <f>21366.89+500</f>
        <v>21866.89</v>
      </c>
      <c r="BL108" s="79">
        <f t="shared" si="219"/>
        <v>2566.8899999999994</v>
      </c>
      <c r="BM108" s="79">
        <f t="shared" si="220"/>
        <v>-1433.1100000000006</v>
      </c>
      <c r="BN108" s="87"/>
      <c r="BO108" s="87" t="s">
        <v>214</v>
      </c>
      <c r="BP108" s="71">
        <v>21184.83</v>
      </c>
      <c r="BQ108" s="32">
        <f t="shared" si="119"/>
        <v>-682.05999999999767</v>
      </c>
      <c r="BR108" s="32">
        <f t="shared" si="120"/>
        <v>-2115.1699999999983</v>
      </c>
      <c r="BS108" s="32"/>
      <c r="BT108" s="87"/>
      <c r="BU108" s="33"/>
      <c r="BV108" s="34">
        <f t="shared" si="121"/>
        <v>-4000</v>
      </c>
      <c r="BY108" s="82"/>
      <c r="BZ108" s="82"/>
      <c r="CC108" s="37"/>
      <c r="CD108" s="71">
        <v>22771</v>
      </c>
    </row>
    <row r="109" spans="1:82" s="77" customFormat="1" ht="18" customHeight="1" x14ac:dyDescent="0.25">
      <c r="A109" s="99" t="s">
        <v>58</v>
      </c>
      <c r="B109" s="100"/>
      <c r="C109" s="101"/>
      <c r="D109" s="93"/>
      <c r="E109" s="98"/>
      <c r="F109" s="121" t="s">
        <v>356</v>
      </c>
      <c r="G109" s="106">
        <v>200</v>
      </c>
      <c r="H109" s="106">
        <v>200</v>
      </c>
      <c r="I109" s="106">
        <v>200</v>
      </c>
      <c r="J109" s="70"/>
      <c r="K109" s="106">
        <v>290</v>
      </c>
      <c r="L109" s="106"/>
      <c r="M109" s="106">
        <v>100</v>
      </c>
      <c r="N109" s="106">
        <v>200</v>
      </c>
      <c r="O109" s="106">
        <v>200</v>
      </c>
      <c r="P109" s="106">
        <f t="shared" si="204"/>
        <v>0</v>
      </c>
      <c r="Q109" s="106"/>
      <c r="R109" s="106"/>
      <c r="S109" s="106"/>
      <c r="T109" s="106">
        <f t="shared" si="90"/>
        <v>-200</v>
      </c>
      <c r="U109" s="107">
        <f t="shared" si="91"/>
        <v>-290</v>
      </c>
      <c r="V109" s="106">
        <f t="shared" si="92"/>
        <v>-200</v>
      </c>
      <c r="W109" s="108"/>
      <c r="X109" s="109">
        <f>25+77.47</f>
        <v>102.47</v>
      </c>
      <c r="Y109" s="24">
        <f t="shared" si="93"/>
        <v>102.47</v>
      </c>
      <c r="Z109" s="85">
        <v>109</v>
      </c>
      <c r="AA109" s="29">
        <f t="shared" si="205"/>
        <v>-91</v>
      </c>
      <c r="AB109" s="29">
        <f t="shared" si="206"/>
        <v>109</v>
      </c>
      <c r="AC109" s="72" t="s">
        <v>309</v>
      </c>
      <c r="AD109" s="72">
        <f t="shared" si="207"/>
        <v>54.5</v>
      </c>
      <c r="AE109" s="72"/>
      <c r="AF109" s="72"/>
      <c r="AG109" s="72"/>
      <c r="AH109" s="85">
        <f t="shared" si="208"/>
        <v>109</v>
      </c>
      <c r="AI109" s="85">
        <v>190</v>
      </c>
      <c r="AJ109" s="85">
        <f t="shared" si="209"/>
        <v>0</v>
      </c>
      <c r="AK109" s="86">
        <v>190</v>
      </c>
      <c r="AL109" s="123">
        <v>2873.97</v>
      </c>
      <c r="AM109" s="27">
        <f t="shared" si="116"/>
        <v>2683.97</v>
      </c>
      <c r="AN109" s="61">
        <f t="shared" si="117"/>
        <v>2764.97</v>
      </c>
      <c r="AO109" s="62">
        <f t="shared" si="118"/>
        <v>81</v>
      </c>
      <c r="AQ109" s="85" t="s">
        <v>271</v>
      </c>
      <c r="AR109" s="85" t="s">
        <v>271</v>
      </c>
      <c r="AS109" s="85" t="s">
        <v>271</v>
      </c>
      <c r="AT109" s="86">
        <f t="shared" si="210"/>
        <v>2940.0713099999994</v>
      </c>
      <c r="AU109" s="71">
        <v>2873.97</v>
      </c>
      <c r="AV109" s="71">
        <f t="shared" si="211"/>
        <v>3000</v>
      </c>
      <c r="AW109" s="71">
        <f t="shared" si="212"/>
        <v>2891</v>
      </c>
      <c r="AX109" s="76">
        <f t="shared" si="213"/>
        <v>2831.0713099999994</v>
      </c>
      <c r="AY109" s="76">
        <f t="shared" si="214"/>
        <v>66.101309999999557</v>
      </c>
      <c r="AZ109" s="145" t="s">
        <v>300</v>
      </c>
      <c r="BE109" s="71">
        <v>3000</v>
      </c>
      <c r="BF109" s="71">
        <v>1000</v>
      </c>
      <c r="BG109" s="78">
        <f t="shared" si="215"/>
        <v>0</v>
      </c>
      <c r="BH109" s="71">
        <f t="shared" si="216"/>
        <v>1000</v>
      </c>
      <c r="BI109" s="33">
        <f t="shared" si="217"/>
        <v>-2000</v>
      </c>
      <c r="BJ109" s="33">
        <f t="shared" si="218"/>
        <v>-1873.9699999999998</v>
      </c>
      <c r="BK109" s="71">
        <v>358.03</v>
      </c>
      <c r="BL109" s="79">
        <f t="shared" si="219"/>
        <v>-641.97</v>
      </c>
      <c r="BM109" s="79">
        <f t="shared" si="220"/>
        <v>-2641.9700000000003</v>
      </c>
      <c r="BN109" s="87" t="s">
        <v>369</v>
      </c>
      <c r="BO109" s="87" t="s">
        <v>370</v>
      </c>
      <c r="BP109" s="71">
        <v>358.03</v>
      </c>
      <c r="BQ109" s="32">
        <f t="shared" si="119"/>
        <v>0</v>
      </c>
      <c r="BR109" s="32">
        <f t="shared" si="120"/>
        <v>-2641.9700000000003</v>
      </c>
      <c r="BS109" s="87" t="s">
        <v>370</v>
      </c>
      <c r="BT109" s="87" t="s">
        <v>371</v>
      </c>
      <c r="BU109" s="33"/>
      <c r="BV109" s="34">
        <f t="shared" si="121"/>
        <v>-2000</v>
      </c>
      <c r="BY109" s="82"/>
      <c r="BZ109" s="82"/>
      <c r="CC109" s="37"/>
      <c r="CD109" s="71">
        <v>2873.97</v>
      </c>
    </row>
    <row r="110" spans="1:82" s="77" customFormat="1" ht="18" customHeight="1" x14ac:dyDescent="0.25">
      <c r="A110" s="99" t="s">
        <v>58</v>
      </c>
      <c r="B110" s="100"/>
      <c r="C110" s="101"/>
      <c r="D110" s="93"/>
      <c r="E110" s="98"/>
      <c r="F110" s="121" t="s">
        <v>372</v>
      </c>
      <c r="G110" s="106">
        <v>3300</v>
      </c>
      <c r="H110" s="106">
        <v>3300</v>
      </c>
      <c r="I110" s="106">
        <v>5400</v>
      </c>
      <c r="J110" s="70" t="s">
        <v>373</v>
      </c>
      <c r="K110" s="106">
        <v>5789.58</v>
      </c>
      <c r="L110" s="106">
        <v>14.05</v>
      </c>
      <c r="M110" s="106">
        <v>2700</v>
      </c>
      <c r="N110" s="106">
        <v>5400</v>
      </c>
      <c r="O110" s="106">
        <v>5400</v>
      </c>
      <c r="P110" s="106">
        <f t="shared" si="204"/>
        <v>0</v>
      </c>
      <c r="Q110" s="106">
        <v>61.81</v>
      </c>
      <c r="R110" s="106"/>
      <c r="S110" s="106">
        <v>4075</v>
      </c>
      <c r="T110" s="106">
        <f t="shared" si="90"/>
        <v>-1325</v>
      </c>
      <c r="U110" s="107">
        <f t="shared" si="91"/>
        <v>-1714.58</v>
      </c>
      <c r="V110" s="106">
        <f t="shared" si="92"/>
        <v>-1325</v>
      </c>
      <c r="W110" s="108" t="s">
        <v>374</v>
      </c>
      <c r="X110" s="109">
        <f>61.81+4425</f>
        <v>4486.8100000000004</v>
      </c>
      <c r="Y110" s="24">
        <f t="shared" si="93"/>
        <v>411.8100000000004</v>
      </c>
      <c r="Z110" s="85">
        <v>4756</v>
      </c>
      <c r="AA110" s="29">
        <f t="shared" si="205"/>
        <v>-644</v>
      </c>
      <c r="AB110" s="29">
        <f t="shared" si="206"/>
        <v>681</v>
      </c>
      <c r="AC110" s="72" t="s">
        <v>309</v>
      </c>
      <c r="AD110" s="72">
        <f t="shared" si="207"/>
        <v>340.5</v>
      </c>
      <c r="AE110" s="72"/>
      <c r="AF110" s="72"/>
      <c r="AG110" s="72"/>
      <c r="AH110" s="85">
        <f t="shared" si="208"/>
        <v>4756</v>
      </c>
      <c r="AI110" s="85">
        <f>(282.58/7*12)+4550+((504.94+596.61)*1.22)</f>
        <v>6378.3138571428572</v>
      </c>
      <c r="AJ110" s="85">
        <f t="shared" si="209"/>
        <v>0</v>
      </c>
      <c r="AK110" s="86">
        <v>6662.3066666666673</v>
      </c>
      <c r="AL110" s="123">
        <f>5232.76+(2025.83*1.1)</f>
        <v>7461.1730000000007</v>
      </c>
      <c r="AM110" s="27">
        <f t="shared" si="116"/>
        <v>1082.8591428571435</v>
      </c>
      <c r="AN110" s="61">
        <f t="shared" si="117"/>
        <v>2705.1730000000007</v>
      </c>
      <c r="AO110" s="62">
        <f t="shared" si="118"/>
        <v>1622.3138571428572</v>
      </c>
      <c r="AQ110" s="90" t="s">
        <v>375</v>
      </c>
      <c r="AR110" s="90" t="s">
        <v>376</v>
      </c>
      <c r="AS110" s="90" t="s">
        <v>375</v>
      </c>
      <c r="AT110" s="86">
        <f t="shared" si="210"/>
        <v>7632.7799789999999</v>
      </c>
      <c r="AU110" s="71">
        <v>7461.17</v>
      </c>
      <c r="AV110" s="71">
        <f t="shared" si="211"/>
        <v>7700</v>
      </c>
      <c r="AW110" s="71">
        <f t="shared" si="212"/>
        <v>2944</v>
      </c>
      <c r="AX110" s="76">
        <f t="shared" si="213"/>
        <v>2876.7799789999999</v>
      </c>
      <c r="AY110" s="76">
        <f t="shared" si="214"/>
        <v>171.60697899999923</v>
      </c>
      <c r="AZ110" s="145" t="s">
        <v>300</v>
      </c>
      <c r="BE110" s="71">
        <v>7700</v>
      </c>
      <c r="BF110" s="71">
        <f>(1676.95/7*12)+900+4600</f>
        <v>8374.7714285714283</v>
      </c>
      <c r="BG110" s="78">
        <f t="shared" si="215"/>
        <v>0</v>
      </c>
      <c r="BH110" s="71">
        <f t="shared" si="216"/>
        <v>8374.7714285714283</v>
      </c>
      <c r="BI110" s="33">
        <f t="shared" si="217"/>
        <v>674.77142857142826</v>
      </c>
      <c r="BJ110" s="33">
        <f t="shared" si="218"/>
        <v>913.60142857142819</v>
      </c>
      <c r="BK110" s="71">
        <v>7225.76</v>
      </c>
      <c r="BL110" s="79">
        <f t="shared" si="219"/>
        <v>-1149.011428571428</v>
      </c>
      <c r="BM110" s="79">
        <f t="shared" si="220"/>
        <v>-474.23999999999978</v>
      </c>
      <c r="BN110" s="87" t="s">
        <v>377</v>
      </c>
      <c r="BO110" s="87" t="s">
        <v>346</v>
      </c>
      <c r="BP110" s="71">
        <v>9027.57</v>
      </c>
      <c r="BQ110" s="32">
        <f t="shared" si="119"/>
        <v>1801.8099999999995</v>
      </c>
      <c r="BR110" s="32">
        <f t="shared" si="120"/>
        <v>1327.5699999999997</v>
      </c>
      <c r="BS110" s="87" t="s">
        <v>378</v>
      </c>
      <c r="BT110" s="87" t="s">
        <v>377</v>
      </c>
      <c r="BU110" s="33"/>
      <c r="BV110" s="34">
        <f t="shared" si="121"/>
        <v>674.77142857142826</v>
      </c>
      <c r="BY110" s="82"/>
      <c r="BZ110" s="82"/>
      <c r="CC110" s="37"/>
      <c r="CD110" s="71">
        <v>7461.17</v>
      </c>
    </row>
    <row r="111" spans="1:82" s="77" customFormat="1" ht="18" customHeight="1" x14ac:dyDescent="0.25">
      <c r="A111" s="99" t="s">
        <v>58</v>
      </c>
      <c r="B111" s="100"/>
      <c r="C111" s="101"/>
      <c r="D111" s="93"/>
      <c r="E111" s="98"/>
      <c r="F111" s="121" t="s">
        <v>379</v>
      </c>
      <c r="G111" s="106">
        <v>0</v>
      </c>
      <c r="H111" s="106">
        <v>200</v>
      </c>
      <c r="I111" s="106">
        <v>400</v>
      </c>
      <c r="J111" s="70" t="s">
        <v>380</v>
      </c>
      <c r="K111" s="106">
        <v>394.22</v>
      </c>
      <c r="L111" s="106">
        <v>349.9</v>
      </c>
      <c r="M111" s="106">
        <f>L111</f>
        <v>349.9</v>
      </c>
      <c r="N111" s="106">
        <f>M111*2</f>
        <v>699.8</v>
      </c>
      <c r="O111" s="106">
        <f>N111</f>
        <v>699.8</v>
      </c>
      <c r="P111" s="106">
        <f t="shared" si="204"/>
        <v>299.79999999999995</v>
      </c>
      <c r="Q111" s="106">
        <v>369.9</v>
      </c>
      <c r="R111" s="106"/>
      <c r="S111" s="106">
        <f>Q111/9*12</f>
        <v>493.19999999999993</v>
      </c>
      <c r="T111" s="106">
        <f t="shared" si="90"/>
        <v>93.199999999999932</v>
      </c>
      <c r="U111" s="107">
        <f t="shared" si="91"/>
        <v>98.979999999999905</v>
      </c>
      <c r="V111" s="106">
        <f t="shared" si="92"/>
        <v>-206.60000000000002</v>
      </c>
      <c r="W111" s="108"/>
      <c r="X111" s="109">
        <f>676.3-299.9+(24*4.51)</f>
        <v>484.64</v>
      </c>
      <c r="Y111" s="24">
        <f t="shared" si="93"/>
        <v>-8.5599999999999454</v>
      </c>
      <c r="Z111" s="85">
        <v>514</v>
      </c>
      <c r="AA111" s="29">
        <f t="shared" si="205"/>
        <v>114</v>
      </c>
      <c r="AB111" s="29">
        <f t="shared" si="206"/>
        <v>20.800000000000068</v>
      </c>
      <c r="AC111" s="72" t="s">
        <v>309</v>
      </c>
      <c r="AD111" s="72">
        <f t="shared" si="207"/>
        <v>10.400000000000034</v>
      </c>
      <c r="AE111" s="72"/>
      <c r="AF111" s="72"/>
      <c r="AG111" s="72"/>
      <c r="AH111" s="85">
        <f t="shared" si="208"/>
        <v>514</v>
      </c>
      <c r="AI111" s="85">
        <f>319.9/7*12</f>
        <v>548.4</v>
      </c>
      <c r="AJ111" s="85">
        <f t="shared" si="209"/>
        <v>0</v>
      </c>
      <c r="AK111" s="86">
        <v>875.94666666666672</v>
      </c>
      <c r="AL111" s="123">
        <f>712.99+(145.7*1.1)+341.6</f>
        <v>1214.8600000000001</v>
      </c>
      <c r="AM111" s="27">
        <f t="shared" si="116"/>
        <v>666.46000000000015</v>
      </c>
      <c r="AN111" s="61">
        <f t="shared" si="117"/>
        <v>700.86000000000013</v>
      </c>
      <c r="AO111" s="62">
        <f t="shared" si="118"/>
        <v>34.399999999999977</v>
      </c>
      <c r="AQ111" s="90" t="s">
        <v>106</v>
      </c>
      <c r="AR111" s="90" t="s">
        <v>107</v>
      </c>
      <c r="AS111" s="90" t="s">
        <v>106</v>
      </c>
      <c r="AT111" s="86">
        <f t="shared" si="210"/>
        <v>1242.80178</v>
      </c>
      <c r="AU111" s="71">
        <v>1237.76</v>
      </c>
      <c r="AV111" s="71">
        <f t="shared" si="211"/>
        <v>1300</v>
      </c>
      <c r="AW111" s="71">
        <f t="shared" si="212"/>
        <v>786</v>
      </c>
      <c r="AX111" s="76">
        <f t="shared" si="213"/>
        <v>728.80178000000001</v>
      </c>
      <c r="AY111" s="76">
        <f t="shared" si="214"/>
        <v>27.941779999999881</v>
      </c>
      <c r="AZ111" s="145" t="s">
        <v>300</v>
      </c>
      <c r="BE111" s="71">
        <v>1300</v>
      </c>
      <c r="BF111" s="71">
        <f>AV111</f>
        <v>1300</v>
      </c>
      <c r="BG111" s="78">
        <f t="shared" si="215"/>
        <v>0</v>
      </c>
      <c r="BH111" s="71">
        <f t="shared" si="216"/>
        <v>1300</v>
      </c>
      <c r="BI111" s="33">
        <f t="shared" si="217"/>
        <v>0</v>
      </c>
      <c r="BJ111" s="33">
        <f t="shared" si="218"/>
        <v>62.240000000000009</v>
      </c>
      <c r="BK111" s="71">
        <v>768.7</v>
      </c>
      <c r="BL111" s="79">
        <f t="shared" si="219"/>
        <v>-531.29999999999995</v>
      </c>
      <c r="BM111" s="79">
        <f t="shared" si="220"/>
        <v>-531.29999999999995</v>
      </c>
      <c r="BN111" s="87" t="s">
        <v>271</v>
      </c>
      <c r="BO111" s="87" t="s">
        <v>346</v>
      </c>
      <c r="BP111" s="71">
        <v>768.7</v>
      </c>
      <c r="BQ111" s="32">
        <f t="shared" si="119"/>
        <v>0</v>
      </c>
      <c r="BR111" s="32">
        <f t="shared" si="120"/>
        <v>-531.29999999999995</v>
      </c>
      <c r="BS111" s="32"/>
      <c r="BT111" s="87" t="s">
        <v>271</v>
      </c>
      <c r="BU111" s="33"/>
      <c r="BV111" s="34">
        <f t="shared" si="121"/>
        <v>0</v>
      </c>
      <c r="BY111" s="82"/>
      <c r="BZ111" s="82"/>
      <c r="CC111" s="37"/>
      <c r="CD111" s="71">
        <v>1237.76</v>
      </c>
    </row>
    <row r="112" spans="1:82" s="35" customFormat="1" ht="18" customHeight="1" x14ac:dyDescent="0.25">
      <c r="A112" s="38" t="s">
        <v>58</v>
      </c>
      <c r="B112" s="39"/>
      <c r="C112" s="93"/>
      <c r="D112" s="93" t="s">
        <v>381</v>
      </c>
      <c r="E112" s="103"/>
      <c r="F112" s="104"/>
      <c r="G112" s="46">
        <v>-24800</v>
      </c>
      <c r="H112" s="46">
        <v>0</v>
      </c>
      <c r="I112" s="46">
        <f>I113+I116+I119+I122+I125+I128</f>
        <v>0</v>
      </c>
      <c r="J112" s="46">
        <f>J113+J116+J119+J122+J125+J128</f>
        <v>0</v>
      </c>
      <c r="K112" s="46">
        <f>K116+K119+K122+K125+K128</f>
        <v>33858.769999999997</v>
      </c>
      <c r="L112" s="46">
        <f>L113+L116+L119+L122+L125+L128</f>
        <v>0</v>
      </c>
      <c r="M112" s="46">
        <f>M113+M116+M119+M122+M125+M128</f>
        <v>0</v>
      </c>
      <c r="N112" s="46">
        <f>N113+N116+N119+N122+N125+N128</f>
        <v>0</v>
      </c>
      <c r="O112" s="46">
        <v>30000</v>
      </c>
      <c r="P112" s="46">
        <v>30001</v>
      </c>
      <c r="Q112" s="46">
        <v>30002</v>
      </c>
      <c r="R112" s="46"/>
      <c r="S112" s="46">
        <f>S116+S119+S122+S125+S128</f>
        <v>9976.8000000000029</v>
      </c>
      <c r="T112" s="46">
        <f t="shared" si="90"/>
        <v>9976.8000000000029</v>
      </c>
      <c r="U112" s="21">
        <f t="shared" si="91"/>
        <v>-23881.969999999994</v>
      </c>
      <c r="V112" s="46">
        <f t="shared" si="92"/>
        <v>-20023.199999999997</v>
      </c>
      <c r="W112" s="47"/>
      <c r="X112" s="23">
        <f>X116+X119+X122+X125+X128</f>
        <v>9976.8000000000029</v>
      </c>
      <c r="Y112" s="24">
        <f t="shared" si="93"/>
        <v>0</v>
      </c>
      <c r="Z112" s="48">
        <f t="shared" ref="Z112:AK112" si="221">Z116+Z119+Z122+Z125+Z128</f>
        <v>9146</v>
      </c>
      <c r="AA112" s="48">
        <f t="shared" si="221"/>
        <v>9146</v>
      </c>
      <c r="AB112" s="48">
        <f t="shared" si="221"/>
        <v>-830.80000000000291</v>
      </c>
      <c r="AC112" s="48">
        <f t="shared" si="221"/>
        <v>0</v>
      </c>
      <c r="AD112" s="48">
        <f t="shared" si="221"/>
        <v>0</v>
      </c>
      <c r="AE112" s="48">
        <f t="shared" si="221"/>
        <v>0</v>
      </c>
      <c r="AF112" s="48">
        <f t="shared" si="221"/>
        <v>0</v>
      </c>
      <c r="AG112" s="48">
        <f t="shared" si="221"/>
        <v>0</v>
      </c>
      <c r="AH112" s="48">
        <f t="shared" si="221"/>
        <v>9145.4099999999962</v>
      </c>
      <c r="AI112" s="48">
        <f t="shared" si="221"/>
        <v>9146</v>
      </c>
      <c r="AJ112" s="48">
        <f t="shared" si="221"/>
        <v>-0.5900000000037835</v>
      </c>
      <c r="AK112" s="49">
        <f t="shared" si="221"/>
        <v>9146</v>
      </c>
      <c r="AL112" s="48">
        <f>AL113+AL116+AL119+AL122+AL125+AL128</f>
        <v>9146</v>
      </c>
      <c r="AM112" s="27">
        <f t="shared" si="116"/>
        <v>0</v>
      </c>
      <c r="AN112" s="28">
        <f t="shared" si="117"/>
        <v>0</v>
      </c>
      <c r="AO112" s="50">
        <f t="shared" si="118"/>
        <v>0</v>
      </c>
      <c r="AQ112" s="48"/>
      <c r="AR112" s="48"/>
      <c r="AS112" s="48"/>
      <c r="AT112" s="49">
        <f t="shared" ref="AT112:BP112" si="222">AT113+AT116+AT119+AT122+AT125+AT128</f>
        <v>9164</v>
      </c>
      <c r="AU112" s="48">
        <f t="shared" si="222"/>
        <v>-3207.6100000000024</v>
      </c>
      <c r="AV112" s="48">
        <f t="shared" si="222"/>
        <v>9200</v>
      </c>
      <c r="AW112" s="48">
        <f t="shared" si="222"/>
        <v>54</v>
      </c>
      <c r="AX112" s="48">
        <f t="shared" si="222"/>
        <v>18</v>
      </c>
      <c r="AY112" s="48">
        <f t="shared" si="222"/>
        <v>18</v>
      </c>
      <c r="AZ112" s="48">
        <f t="shared" si="222"/>
        <v>0</v>
      </c>
      <c r="BA112" s="48">
        <f t="shared" si="222"/>
        <v>0</v>
      </c>
      <c r="BB112" s="48">
        <f t="shared" si="222"/>
        <v>0</v>
      </c>
      <c r="BC112" s="48">
        <f t="shared" si="222"/>
        <v>0</v>
      </c>
      <c r="BD112" s="48">
        <f t="shared" si="222"/>
        <v>0</v>
      </c>
      <c r="BE112" s="48">
        <f t="shared" si="222"/>
        <v>9200</v>
      </c>
      <c r="BF112" s="48">
        <f t="shared" si="222"/>
        <v>9200</v>
      </c>
      <c r="BG112" s="48">
        <f t="shared" si="222"/>
        <v>0</v>
      </c>
      <c r="BH112" s="48">
        <f t="shared" si="222"/>
        <v>9200</v>
      </c>
      <c r="BI112" s="48">
        <f t="shared" si="222"/>
        <v>0</v>
      </c>
      <c r="BJ112" s="48">
        <f t="shared" si="222"/>
        <v>12407.610000000002</v>
      </c>
      <c r="BK112" s="48">
        <f t="shared" si="222"/>
        <v>9200</v>
      </c>
      <c r="BL112" s="48">
        <f t="shared" si="222"/>
        <v>0</v>
      </c>
      <c r="BM112" s="48">
        <f t="shared" si="222"/>
        <v>0</v>
      </c>
      <c r="BN112" s="48" t="e">
        <f t="shared" si="222"/>
        <v>#VALUE!</v>
      </c>
      <c r="BO112" s="48" t="e">
        <f t="shared" si="222"/>
        <v>#VALUE!</v>
      </c>
      <c r="BP112" s="48">
        <f t="shared" si="222"/>
        <v>46116.480000000003</v>
      </c>
      <c r="BQ112" s="32">
        <f t="shared" si="119"/>
        <v>36916.480000000003</v>
      </c>
      <c r="BR112" s="32">
        <f t="shared" si="120"/>
        <v>36916.480000000003</v>
      </c>
      <c r="BS112" s="32"/>
      <c r="BT112" s="32"/>
      <c r="BU112" s="33"/>
      <c r="BV112" s="34">
        <f t="shared" si="121"/>
        <v>0</v>
      </c>
      <c r="BY112" s="36"/>
      <c r="BZ112" s="36"/>
      <c r="CC112" s="37"/>
      <c r="CD112" s="48">
        <f>CD113+CD116+CD119+CD122+CD125+CD128</f>
        <v>-3207.6100000000024</v>
      </c>
    </row>
    <row r="113" spans="1:82" s="77" customFormat="1" ht="18" hidden="1" customHeight="1" x14ac:dyDescent="0.25">
      <c r="A113" s="99" t="s">
        <v>58</v>
      </c>
      <c r="B113" s="100"/>
      <c r="C113" s="101"/>
      <c r="D113" s="93"/>
      <c r="E113" s="98" t="s">
        <v>382</v>
      </c>
      <c r="F113" s="105"/>
      <c r="G113" s="55">
        <v>0</v>
      </c>
      <c r="H113" s="55">
        <v>0</v>
      </c>
      <c r="I113" s="55">
        <f t="shared" ref="I113:Q113" si="223">I115-I114</f>
        <v>0</v>
      </c>
      <c r="J113" s="55">
        <f t="shared" si="223"/>
        <v>0</v>
      </c>
      <c r="K113" s="55">
        <f t="shared" si="223"/>
        <v>0</v>
      </c>
      <c r="L113" s="55">
        <f t="shared" si="223"/>
        <v>0</v>
      </c>
      <c r="M113" s="55">
        <f t="shared" si="223"/>
        <v>0</v>
      </c>
      <c r="N113" s="55">
        <f t="shared" si="223"/>
        <v>0</v>
      </c>
      <c r="O113" s="55">
        <f t="shared" si="223"/>
        <v>0</v>
      </c>
      <c r="P113" s="55">
        <f t="shared" si="223"/>
        <v>0</v>
      </c>
      <c r="Q113" s="55">
        <f t="shared" si="223"/>
        <v>0</v>
      </c>
      <c r="R113" s="55"/>
      <c r="S113" s="55">
        <f>S114-S115</f>
        <v>0</v>
      </c>
      <c r="T113" s="55">
        <f t="shared" si="90"/>
        <v>0</v>
      </c>
      <c r="U113" s="56">
        <f t="shared" si="91"/>
        <v>0</v>
      </c>
      <c r="V113" s="55">
        <f t="shared" si="92"/>
        <v>0</v>
      </c>
      <c r="W113" s="57"/>
      <c r="X113" s="58">
        <f>X114-X115</f>
        <v>0</v>
      </c>
      <c r="Y113" s="24">
        <f t="shared" si="93"/>
        <v>0</v>
      </c>
      <c r="Z113" s="33">
        <f t="shared" ref="Z113:AK113" si="224">Z114-Z115</f>
        <v>0</v>
      </c>
      <c r="AA113" s="33">
        <f t="shared" si="224"/>
        <v>0</v>
      </c>
      <c r="AB113" s="33">
        <f t="shared" si="224"/>
        <v>0</v>
      </c>
      <c r="AC113" s="33">
        <f t="shared" si="224"/>
        <v>0</v>
      </c>
      <c r="AD113" s="33">
        <f t="shared" si="224"/>
        <v>0</v>
      </c>
      <c r="AE113" s="33">
        <f t="shared" si="224"/>
        <v>0</v>
      </c>
      <c r="AF113" s="33">
        <f t="shared" si="224"/>
        <v>0</v>
      </c>
      <c r="AG113" s="33">
        <f t="shared" si="224"/>
        <v>0</v>
      </c>
      <c r="AH113" s="33">
        <f t="shared" si="224"/>
        <v>0</v>
      </c>
      <c r="AI113" s="33">
        <f t="shared" si="224"/>
        <v>0</v>
      </c>
      <c r="AJ113" s="33">
        <f t="shared" si="224"/>
        <v>0</v>
      </c>
      <c r="AK113" s="60">
        <f t="shared" si="224"/>
        <v>0</v>
      </c>
      <c r="AL113" s="33">
        <f>AL114+AL115</f>
        <v>0</v>
      </c>
      <c r="AM113" s="27">
        <f t="shared" si="116"/>
        <v>0</v>
      </c>
      <c r="AN113" s="61">
        <f t="shared" si="117"/>
        <v>0</v>
      </c>
      <c r="AO113" s="62">
        <f t="shared" si="118"/>
        <v>0</v>
      </c>
      <c r="AQ113" s="33"/>
      <c r="AR113" s="33"/>
      <c r="AS113" s="33"/>
      <c r="AT113" s="60">
        <f t="shared" ref="AT113:BP113" si="225">AT114+AT115</f>
        <v>0</v>
      </c>
      <c r="AU113" s="33">
        <f t="shared" si="225"/>
        <v>0</v>
      </c>
      <c r="AV113" s="33">
        <f t="shared" si="225"/>
        <v>0</v>
      </c>
      <c r="AW113" s="33">
        <f t="shared" si="225"/>
        <v>0</v>
      </c>
      <c r="AX113" s="33">
        <f t="shared" si="225"/>
        <v>0</v>
      </c>
      <c r="AY113" s="33">
        <f t="shared" si="225"/>
        <v>0</v>
      </c>
      <c r="AZ113" s="33">
        <f t="shared" si="225"/>
        <v>0</v>
      </c>
      <c r="BA113" s="33">
        <f t="shared" si="225"/>
        <v>0</v>
      </c>
      <c r="BB113" s="33">
        <f t="shared" si="225"/>
        <v>0</v>
      </c>
      <c r="BC113" s="33">
        <f t="shared" si="225"/>
        <v>0</v>
      </c>
      <c r="BD113" s="33">
        <f t="shared" si="225"/>
        <v>0</v>
      </c>
      <c r="BE113" s="33">
        <f t="shared" si="225"/>
        <v>0</v>
      </c>
      <c r="BF113" s="33">
        <f t="shared" si="225"/>
        <v>0</v>
      </c>
      <c r="BG113" s="33">
        <f t="shared" si="225"/>
        <v>0</v>
      </c>
      <c r="BH113" s="33">
        <f t="shared" si="225"/>
        <v>0</v>
      </c>
      <c r="BI113" s="33">
        <f t="shared" si="225"/>
        <v>0</v>
      </c>
      <c r="BJ113" s="33">
        <f t="shared" si="225"/>
        <v>0</v>
      </c>
      <c r="BK113" s="33">
        <f t="shared" si="225"/>
        <v>0</v>
      </c>
      <c r="BL113" s="33">
        <f t="shared" si="225"/>
        <v>0</v>
      </c>
      <c r="BM113" s="33">
        <f t="shared" si="225"/>
        <v>0</v>
      </c>
      <c r="BN113" s="33">
        <f t="shared" si="225"/>
        <v>0</v>
      </c>
      <c r="BO113" s="33">
        <f t="shared" si="225"/>
        <v>0</v>
      </c>
      <c r="BP113" s="33">
        <f t="shared" si="225"/>
        <v>0</v>
      </c>
      <c r="BQ113" s="32">
        <f t="shared" si="119"/>
        <v>0</v>
      </c>
      <c r="BR113" s="32">
        <f t="shared" si="120"/>
        <v>0</v>
      </c>
      <c r="BS113" s="32"/>
      <c r="BT113" s="32"/>
      <c r="BU113" s="33"/>
      <c r="BV113" s="34">
        <f t="shared" si="121"/>
        <v>0</v>
      </c>
      <c r="BY113" s="82"/>
      <c r="BZ113" s="82"/>
      <c r="CC113" s="37"/>
      <c r="CD113" s="33">
        <f>CD114+CD115</f>
        <v>0</v>
      </c>
    </row>
    <row r="114" spans="1:82" s="77" customFormat="1" ht="18" hidden="1" customHeight="1" x14ac:dyDescent="0.25">
      <c r="A114" s="99" t="s">
        <v>58</v>
      </c>
      <c r="B114" s="100"/>
      <c r="C114" s="101"/>
      <c r="D114" s="93"/>
      <c r="E114" s="98"/>
      <c r="F114" s="121" t="s">
        <v>383</v>
      </c>
      <c r="G114" s="106">
        <v>0</v>
      </c>
      <c r="H114" s="106">
        <v>0</v>
      </c>
      <c r="I114" s="106">
        <v>0</v>
      </c>
      <c r="J114" s="70"/>
      <c r="K114" s="106">
        <v>0</v>
      </c>
      <c r="L114" s="106"/>
      <c r="M114" s="106"/>
      <c r="N114" s="106"/>
      <c r="O114" s="106"/>
      <c r="P114" s="106"/>
      <c r="Q114" s="106"/>
      <c r="R114" s="106"/>
      <c r="S114" s="106"/>
      <c r="T114" s="106">
        <f t="shared" si="90"/>
        <v>0</v>
      </c>
      <c r="U114" s="107">
        <f t="shared" si="91"/>
        <v>0</v>
      </c>
      <c r="V114" s="106">
        <f t="shared" si="92"/>
        <v>0</v>
      </c>
      <c r="W114" s="108"/>
      <c r="X114" s="109"/>
      <c r="Y114" s="24">
        <f t="shared" si="93"/>
        <v>0</v>
      </c>
      <c r="Z114" s="85">
        <v>0</v>
      </c>
      <c r="AA114" s="85">
        <v>0</v>
      </c>
      <c r="AB114" s="85">
        <v>0</v>
      </c>
      <c r="AC114" s="85">
        <v>0</v>
      </c>
      <c r="AD114" s="85">
        <v>0</v>
      </c>
      <c r="AE114" s="85">
        <v>0</v>
      </c>
      <c r="AF114" s="85">
        <v>0</v>
      </c>
      <c r="AG114" s="85">
        <v>0</v>
      </c>
      <c r="AH114" s="85">
        <v>0</v>
      </c>
      <c r="AI114" s="85">
        <v>0</v>
      </c>
      <c r="AJ114" s="85">
        <v>0</v>
      </c>
      <c r="AK114" s="86">
        <v>0</v>
      </c>
      <c r="AL114" s="85">
        <v>0</v>
      </c>
      <c r="AM114" s="27">
        <f t="shared" si="116"/>
        <v>0</v>
      </c>
      <c r="AN114" s="61">
        <f t="shared" si="117"/>
        <v>0</v>
      </c>
      <c r="AO114" s="62">
        <f t="shared" si="118"/>
        <v>0</v>
      </c>
      <c r="AQ114" s="85"/>
      <c r="AR114" s="85"/>
      <c r="AS114" s="85"/>
      <c r="AT114" s="86">
        <v>0</v>
      </c>
      <c r="AU114" s="85">
        <v>0</v>
      </c>
      <c r="AV114" s="85">
        <v>0</v>
      </c>
      <c r="AW114" s="85">
        <v>0</v>
      </c>
      <c r="AX114" s="85">
        <v>0</v>
      </c>
      <c r="AY114" s="85">
        <v>0</v>
      </c>
      <c r="AZ114" s="85">
        <v>0</v>
      </c>
      <c r="BA114" s="85">
        <v>0</v>
      </c>
      <c r="BB114" s="85">
        <v>0</v>
      </c>
      <c r="BC114" s="85">
        <v>0</v>
      </c>
      <c r="BD114" s="85">
        <v>0</v>
      </c>
      <c r="BE114" s="85">
        <v>0</v>
      </c>
      <c r="BF114" s="85">
        <v>0</v>
      </c>
      <c r="BG114" s="85">
        <v>0</v>
      </c>
      <c r="BH114" s="85">
        <v>0</v>
      </c>
      <c r="BI114" s="85">
        <v>0</v>
      </c>
      <c r="BJ114" s="85">
        <v>0</v>
      </c>
      <c r="BK114" s="85">
        <v>0</v>
      </c>
      <c r="BL114" s="85">
        <v>0</v>
      </c>
      <c r="BM114" s="85">
        <v>0</v>
      </c>
      <c r="BN114" s="85">
        <v>0</v>
      </c>
      <c r="BO114" s="85">
        <v>0</v>
      </c>
      <c r="BP114" s="85">
        <v>0</v>
      </c>
      <c r="BQ114" s="32">
        <f t="shared" si="119"/>
        <v>0</v>
      </c>
      <c r="BR114" s="32">
        <f t="shared" si="120"/>
        <v>0</v>
      </c>
      <c r="BS114" s="32"/>
      <c r="BT114" s="32"/>
      <c r="BU114" s="33"/>
      <c r="BV114" s="34">
        <f t="shared" si="121"/>
        <v>0</v>
      </c>
      <c r="BY114" s="82"/>
      <c r="BZ114" s="82"/>
      <c r="CC114" s="37"/>
      <c r="CD114" s="85">
        <v>0</v>
      </c>
    </row>
    <row r="115" spans="1:82" s="77" customFormat="1" ht="18" hidden="1" customHeight="1" x14ac:dyDescent="0.25">
      <c r="A115" s="99" t="s">
        <v>58</v>
      </c>
      <c r="B115" s="100"/>
      <c r="C115" s="101"/>
      <c r="D115" s="93"/>
      <c r="E115" s="98"/>
      <c r="F115" s="121" t="s">
        <v>384</v>
      </c>
      <c r="G115" s="106">
        <v>0</v>
      </c>
      <c r="H115" s="106">
        <v>0</v>
      </c>
      <c r="I115" s="106">
        <v>0</v>
      </c>
      <c r="J115" s="70"/>
      <c r="K115" s="106">
        <v>0</v>
      </c>
      <c r="L115" s="106"/>
      <c r="M115" s="106"/>
      <c r="N115" s="106"/>
      <c r="O115" s="106"/>
      <c r="P115" s="106"/>
      <c r="Q115" s="106"/>
      <c r="R115" s="106"/>
      <c r="S115" s="106"/>
      <c r="T115" s="106">
        <f t="shared" si="90"/>
        <v>0</v>
      </c>
      <c r="U115" s="107">
        <f t="shared" si="91"/>
        <v>0</v>
      </c>
      <c r="V115" s="106">
        <f t="shared" si="92"/>
        <v>0</v>
      </c>
      <c r="W115" s="108"/>
      <c r="X115" s="109"/>
      <c r="Y115" s="24">
        <f t="shared" si="93"/>
        <v>0</v>
      </c>
      <c r="Z115" s="85">
        <v>0</v>
      </c>
      <c r="AA115" s="85">
        <v>0</v>
      </c>
      <c r="AB115" s="85">
        <v>0</v>
      </c>
      <c r="AC115" s="85">
        <v>0</v>
      </c>
      <c r="AD115" s="85">
        <v>0</v>
      </c>
      <c r="AE115" s="85">
        <v>0</v>
      </c>
      <c r="AF115" s="85">
        <v>0</v>
      </c>
      <c r="AG115" s="85">
        <v>0</v>
      </c>
      <c r="AH115" s="85">
        <v>0</v>
      </c>
      <c r="AI115" s="85">
        <v>0</v>
      </c>
      <c r="AJ115" s="85">
        <v>0</v>
      </c>
      <c r="AK115" s="86">
        <v>0</v>
      </c>
      <c r="AL115" s="85">
        <v>0</v>
      </c>
      <c r="AM115" s="27">
        <f t="shared" si="116"/>
        <v>0</v>
      </c>
      <c r="AN115" s="61">
        <f t="shared" si="117"/>
        <v>0</v>
      </c>
      <c r="AO115" s="62">
        <f t="shared" si="118"/>
        <v>0</v>
      </c>
      <c r="AQ115" s="85"/>
      <c r="AR115" s="85"/>
      <c r="AS115" s="85"/>
      <c r="AT115" s="86">
        <v>0</v>
      </c>
      <c r="AU115" s="85">
        <v>0</v>
      </c>
      <c r="AV115" s="85">
        <v>0</v>
      </c>
      <c r="AW115" s="85">
        <v>0</v>
      </c>
      <c r="AX115" s="85">
        <v>0</v>
      </c>
      <c r="AY115" s="85">
        <v>0</v>
      </c>
      <c r="AZ115" s="85">
        <v>0</v>
      </c>
      <c r="BA115" s="85">
        <v>0</v>
      </c>
      <c r="BB115" s="85">
        <v>0</v>
      </c>
      <c r="BC115" s="85">
        <v>0</v>
      </c>
      <c r="BD115" s="85">
        <v>0</v>
      </c>
      <c r="BE115" s="85">
        <v>0</v>
      </c>
      <c r="BF115" s="85">
        <v>0</v>
      </c>
      <c r="BG115" s="85">
        <v>0</v>
      </c>
      <c r="BH115" s="85">
        <v>0</v>
      </c>
      <c r="BI115" s="85">
        <v>0</v>
      </c>
      <c r="BJ115" s="85">
        <v>0</v>
      </c>
      <c r="BK115" s="85">
        <v>0</v>
      </c>
      <c r="BL115" s="85">
        <v>0</v>
      </c>
      <c r="BM115" s="85">
        <v>0</v>
      </c>
      <c r="BN115" s="85">
        <v>0</v>
      </c>
      <c r="BO115" s="85">
        <v>0</v>
      </c>
      <c r="BP115" s="85">
        <v>0</v>
      </c>
      <c r="BQ115" s="32">
        <f t="shared" si="119"/>
        <v>0</v>
      </c>
      <c r="BR115" s="32">
        <f t="shared" si="120"/>
        <v>0</v>
      </c>
      <c r="BS115" s="32"/>
      <c r="BT115" s="32"/>
      <c r="BU115" s="33"/>
      <c r="BV115" s="34">
        <f t="shared" si="121"/>
        <v>0</v>
      </c>
      <c r="BY115" s="82"/>
      <c r="BZ115" s="82"/>
      <c r="CC115" s="37"/>
      <c r="CD115" s="85">
        <v>0</v>
      </c>
    </row>
    <row r="116" spans="1:82" s="63" customFormat="1" ht="18" customHeight="1" x14ac:dyDescent="0.25">
      <c r="A116" s="96" t="s">
        <v>58</v>
      </c>
      <c r="B116" s="97"/>
      <c r="C116" s="98"/>
      <c r="D116" s="103"/>
      <c r="E116" s="98" t="s">
        <v>385</v>
      </c>
      <c r="F116" s="105"/>
      <c r="G116" s="55">
        <v>0</v>
      </c>
      <c r="H116" s="55">
        <v>0</v>
      </c>
      <c r="I116" s="55">
        <v>0</v>
      </c>
      <c r="J116" s="148"/>
      <c r="K116" s="55">
        <f>K117+K118</f>
        <v>-1429.87</v>
      </c>
      <c r="L116" s="55"/>
      <c r="M116" s="55"/>
      <c r="N116" s="55"/>
      <c r="O116" s="55"/>
      <c r="P116" s="55"/>
      <c r="Q116" s="55"/>
      <c r="R116" s="55"/>
      <c r="S116" s="55">
        <f>S117+S118</f>
        <v>0</v>
      </c>
      <c r="T116" s="55">
        <f t="shared" si="90"/>
        <v>0</v>
      </c>
      <c r="U116" s="56">
        <f t="shared" si="91"/>
        <v>1429.87</v>
      </c>
      <c r="V116" s="55">
        <f t="shared" si="92"/>
        <v>0</v>
      </c>
      <c r="W116" s="57"/>
      <c r="X116" s="58">
        <f>X117+X118</f>
        <v>0</v>
      </c>
      <c r="Y116" s="59">
        <f t="shared" si="93"/>
        <v>0</v>
      </c>
      <c r="Z116" s="33">
        <f t="shared" ref="Z116:AL116" si="226">Z117+Z118</f>
        <v>0</v>
      </c>
      <c r="AA116" s="33">
        <f t="shared" si="226"/>
        <v>0</v>
      </c>
      <c r="AB116" s="33">
        <f t="shared" si="226"/>
        <v>0</v>
      </c>
      <c r="AC116" s="33">
        <f t="shared" si="226"/>
        <v>0</v>
      </c>
      <c r="AD116" s="33">
        <f t="shared" si="226"/>
        <v>0</v>
      </c>
      <c r="AE116" s="33">
        <f t="shared" si="226"/>
        <v>0</v>
      </c>
      <c r="AF116" s="33">
        <f t="shared" si="226"/>
        <v>0</v>
      </c>
      <c r="AG116" s="33">
        <f t="shared" si="226"/>
        <v>0</v>
      </c>
      <c r="AH116" s="33">
        <f t="shared" si="226"/>
        <v>0</v>
      </c>
      <c r="AI116" s="33">
        <f t="shared" si="226"/>
        <v>0</v>
      </c>
      <c r="AJ116" s="33">
        <f t="shared" si="226"/>
        <v>0</v>
      </c>
      <c r="AK116" s="60">
        <f t="shared" si="226"/>
        <v>0</v>
      </c>
      <c r="AL116" s="33">
        <f t="shared" si="226"/>
        <v>0</v>
      </c>
      <c r="AM116" s="27">
        <f t="shared" si="116"/>
        <v>0</v>
      </c>
      <c r="AN116" s="61">
        <f t="shared" si="117"/>
        <v>0</v>
      </c>
      <c r="AO116" s="62">
        <f t="shared" si="118"/>
        <v>0</v>
      </c>
      <c r="AQ116" s="33"/>
      <c r="AR116" s="33"/>
      <c r="AS116" s="33"/>
      <c r="AT116" s="60">
        <f t="shared" ref="AT116:BP116" si="227">AT117+AT118</f>
        <v>0</v>
      </c>
      <c r="AU116" s="33">
        <f t="shared" si="227"/>
        <v>-670.52000000000044</v>
      </c>
      <c r="AV116" s="33">
        <f t="shared" si="227"/>
        <v>0</v>
      </c>
      <c r="AW116" s="33">
        <f t="shared" si="227"/>
        <v>0</v>
      </c>
      <c r="AX116" s="33">
        <f t="shared" si="227"/>
        <v>0</v>
      </c>
      <c r="AY116" s="33">
        <f t="shared" si="227"/>
        <v>0</v>
      </c>
      <c r="AZ116" s="33">
        <f t="shared" si="227"/>
        <v>0</v>
      </c>
      <c r="BA116" s="33">
        <f t="shared" si="227"/>
        <v>0</v>
      </c>
      <c r="BB116" s="33">
        <f t="shared" si="227"/>
        <v>0</v>
      </c>
      <c r="BC116" s="33">
        <f t="shared" si="227"/>
        <v>0</v>
      </c>
      <c r="BD116" s="33">
        <f t="shared" si="227"/>
        <v>0</v>
      </c>
      <c r="BE116" s="33">
        <f t="shared" si="227"/>
        <v>0</v>
      </c>
      <c r="BF116" s="33">
        <f t="shared" si="227"/>
        <v>0</v>
      </c>
      <c r="BG116" s="33">
        <f t="shared" si="227"/>
        <v>0</v>
      </c>
      <c r="BH116" s="33">
        <f t="shared" si="227"/>
        <v>0</v>
      </c>
      <c r="BI116" s="33">
        <f t="shared" si="227"/>
        <v>0</v>
      </c>
      <c r="BJ116" s="33">
        <f t="shared" si="227"/>
        <v>670.52000000000044</v>
      </c>
      <c r="BK116" s="33">
        <f t="shared" si="227"/>
        <v>0</v>
      </c>
      <c r="BL116" s="33">
        <f t="shared" si="227"/>
        <v>0</v>
      </c>
      <c r="BM116" s="33">
        <f t="shared" si="227"/>
        <v>0</v>
      </c>
      <c r="BN116" s="33">
        <f t="shared" si="227"/>
        <v>0</v>
      </c>
      <c r="BO116" s="33">
        <f t="shared" si="227"/>
        <v>0</v>
      </c>
      <c r="BP116" s="33">
        <f t="shared" si="227"/>
        <v>1194.6599999999999</v>
      </c>
      <c r="BQ116" s="32">
        <f t="shared" si="119"/>
        <v>1194.6599999999999</v>
      </c>
      <c r="BR116" s="32">
        <f t="shared" si="120"/>
        <v>1194.6599999999999</v>
      </c>
      <c r="BS116" s="32"/>
      <c r="BT116" s="32"/>
      <c r="BU116" s="33"/>
      <c r="BV116" s="34">
        <f t="shared" si="121"/>
        <v>0</v>
      </c>
      <c r="BY116" s="64"/>
      <c r="BZ116" s="64"/>
      <c r="CC116" s="37"/>
      <c r="CD116" s="33">
        <f>CD117+CD118</f>
        <v>-670.52000000000044</v>
      </c>
    </row>
    <row r="117" spans="1:82" s="77" customFormat="1" ht="18" customHeight="1" x14ac:dyDescent="0.25">
      <c r="A117" s="99" t="s">
        <v>58</v>
      </c>
      <c r="B117" s="100"/>
      <c r="C117" s="101"/>
      <c r="D117" s="93"/>
      <c r="E117" s="98"/>
      <c r="F117" s="121" t="s">
        <v>386</v>
      </c>
      <c r="G117" s="106">
        <v>0</v>
      </c>
      <c r="H117" s="106">
        <v>0</v>
      </c>
      <c r="I117" s="106">
        <v>0</v>
      </c>
      <c r="J117" s="70"/>
      <c r="K117" s="106">
        <v>0</v>
      </c>
      <c r="L117" s="106"/>
      <c r="M117" s="106"/>
      <c r="N117" s="106"/>
      <c r="O117" s="106"/>
      <c r="P117" s="106"/>
      <c r="Q117" s="106"/>
      <c r="R117" s="106"/>
      <c r="S117" s="106">
        <v>1429.87</v>
      </c>
      <c r="T117" s="106">
        <f t="shared" si="90"/>
        <v>1429.87</v>
      </c>
      <c r="U117" s="107">
        <f t="shared" si="91"/>
        <v>1429.87</v>
      </c>
      <c r="V117" s="106">
        <f t="shared" si="92"/>
        <v>1429.87</v>
      </c>
      <c r="W117" s="108"/>
      <c r="X117" s="109">
        <v>1429.87</v>
      </c>
      <c r="Y117" s="24">
        <f t="shared" si="93"/>
        <v>0</v>
      </c>
      <c r="Z117" s="85">
        <v>0</v>
      </c>
      <c r="AA117" s="29">
        <f>Z117-I117</f>
        <v>0</v>
      </c>
      <c r="AB117" s="29">
        <f>Z117-S117</f>
        <v>-1429.87</v>
      </c>
      <c r="AC117" s="72"/>
      <c r="AD117" s="72"/>
      <c r="AE117" s="72"/>
      <c r="AF117" s="72"/>
      <c r="AG117" s="72"/>
      <c r="AH117" s="85">
        <v>0</v>
      </c>
      <c r="AI117" s="85">
        <v>6361.16</v>
      </c>
      <c r="AJ117" s="149">
        <f>AH117-Z117</f>
        <v>0</v>
      </c>
      <c r="AK117" s="86">
        <v>6361.16</v>
      </c>
      <c r="AL117" s="123">
        <v>6361.16</v>
      </c>
      <c r="AM117" s="27">
        <f t="shared" si="116"/>
        <v>0</v>
      </c>
      <c r="AN117" s="61">
        <f t="shared" si="117"/>
        <v>6361.16</v>
      </c>
      <c r="AO117" s="62">
        <f t="shared" si="118"/>
        <v>6361.16</v>
      </c>
      <c r="AQ117" s="85"/>
      <c r="AR117" s="85"/>
      <c r="AS117" s="85"/>
      <c r="AT117" s="86">
        <v>6361.16</v>
      </c>
      <c r="AU117" s="71">
        <v>6361.16</v>
      </c>
      <c r="AV117" s="71">
        <f>CEILING(AT117,100)</f>
        <v>6400</v>
      </c>
      <c r="AW117" s="71">
        <f>AV117-Z117</f>
        <v>6400</v>
      </c>
      <c r="AX117" s="76">
        <f>AT117-Z117</f>
        <v>6361.16</v>
      </c>
      <c r="AY117" s="76">
        <f>AT117-AL117</f>
        <v>0</v>
      </c>
      <c r="BE117" s="71">
        <v>6400</v>
      </c>
      <c r="BF117" s="71">
        <f>-AU118</f>
        <v>7031.68</v>
      </c>
      <c r="BG117" s="78">
        <f>BE117-AV117</f>
        <v>0</v>
      </c>
      <c r="BH117" s="71">
        <f>BF117</f>
        <v>7031.68</v>
      </c>
      <c r="BI117" s="33">
        <f>BF117-AV117</f>
        <v>631.68000000000029</v>
      </c>
      <c r="BJ117" s="33">
        <f>BF117-AU117</f>
        <v>670.52000000000044</v>
      </c>
      <c r="BK117" s="71">
        <f>BH117</f>
        <v>7031.68</v>
      </c>
      <c r="BL117" s="79">
        <f>BK117-BH117</f>
        <v>0</v>
      </c>
      <c r="BM117" s="79">
        <f>BK117-AV117</f>
        <v>631.68000000000029</v>
      </c>
      <c r="BN117" s="32"/>
      <c r="BO117" s="32"/>
      <c r="BP117" s="71">
        <v>7031.68</v>
      </c>
      <c r="BQ117" s="32">
        <f t="shared" si="119"/>
        <v>0</v>
      </c>
      <c r="BR117" s="32">
        <f t="shared" si="120"/>
        <v>631.68000000000029</v>
      </c>
      <c r="BS117" s="32"/>
      <c r="BT117" s="32"/>
      <c r="BU117" s="33"/>
      <c r="BV117" s="34">
        <f t="shared" si="121"/>
        <v>631.68000000000029</v>
      </c>
      <c r="BY117" s="82"/>
      <c r="BZ117" s="82"/>
      <c r="CC117" s="37"/>
      <c r="CD117" s="71">
        <v>6361.16</v>
      </c>
    </row>
    <row r="118" spans="1:82" s="77" customFormat="1" ht="18" customHeight="1" x14ac:dyDescent="0.25">
      <c r="A118" s="99" t="s">
        <v>58</v>
      </c>
      <c r="B118" s="100"/>
      <c r="C118" s="101"/>
      <c r="D118" s="93"/>
      <c r="E118" s="98"/>
      <c r="F118" s="121" t="s">
        <v>387</v>
      </c>
      <c r="G118" s="106">
        <v>0</v>
      </c>
      <c r="H118" s="106">
        <v>0</v>
      </c>
      <c r="I118" s="106">
        <v>0</v>
      </c>
      <c r="J118" s="70"/>
      <c r="K118" s="106">
        <v>-1429.87</v>
      </c>
      <c r="L118" s="106"/>
      <c r="M118" s="106"/>
      <c r="N118" s="106"/>
      <c r="O118" s="106"/>
      <c r="P118" s="106"/>
      <c r="Q118" s="106"/>
      <c r="R118" s="106"/>
      <c r="S118" s="106">
        <f>-S117</f>
        <v>-1429.87</v>
      </c>
      <c r="T118" s="106">
        <f t="shared" si="90"/>
        <v>-1429.87</v>
      </c>
      <c r="U118" s="107">
        <f t="shared" si="91"/>
        <v>0</v>
      </c>
      <c r="V118" s="106">
        <f t="shared" si="92"/>
        <v>-1429.87</v>
      </c>
      <c r="W118" s="108"/>
      <c r="X118" s="109">
        <f>-X117</f>
        <v>-1429.87</v>
      </c>
      <c r="Y118" s="24">
        <f t="shared" si="93"/>
        <v>0</v>
      </c>
      <c r="Z118" s="85">
        <v>0</v>
      </c>
      <c r="AA118" s="29">
        <f>Z118-I118</f>
        <v>0</v>
      </c>
      <c r="AB118" s="29">
        <f>Z118-S118</f>
        <v>1429.87</v>
      </c>
      <c r="AC118" s="72"/>
      <c r="AD118" s="72"/>
      <c r="AE118" s="72"/>
      <c r="AF118" s="72"/>
      <c r="AG118" s="72"/>
      <c r="AH118" s="85">
        <v>0</v>
      </c>
      <c r="AI118" s="85">
        <f>-AI117</f>
        <v>-6361.16</v>
      </c>
      <c r="AJ118" s="149">
        <f>AH118-Z118</f>
        <v>0</v>
      </c>
      <c r="AK118" s="86">
        <v>-6361.16</v>
      </c>
      <c r="AL118" s="123">
        <f>-AL117</f>
        <v>-6361.16</v>
      </c>
      <c r="AM118" s="27">
        <f t="shared" si="116"/>
        <v>0</v>
      </c>
      <c r="AN118" s="61">
        <f t="shared" si="117"/>
        <v>-6361.16</v>
      </c>
      <c r="AO118" s="62">
        <f t="shared" si="118"/>
        <v>-6361.16</v>
      </c>
      <c r="AQ118" s="85"/>
      <c r="AR118" s="85"/>
      <c r="AS118" s="85"/>
      <c r="AT118" s="86">
        <f>-AT117</f>
        <v>-6361.16</v>
      </c>
      <c r="AU118" s="85">
        <v>-7031.68</v>
      </c>
      <c r="AV118" s="85">
        <f>-AV117</f>
        <v>-6400</v>
      </c>
      <c r="AW118" s="85">
        <f>AV118-Z118</f>
        <v>-6400</v>
      </c>
      <c r="AX118" s="76">
        <f>AT118-Z118</f>
        <v>-6361.16</v>
      </c>
      <c r="AY118" s="76">
        <f>AT118-AL118</f>
        <v>0</v>
      </c>
      <c r="BE118" s="85">
        <v>-6400</v>
      </c>
      <c r="BF118" s="85">
        <f>-BF117</f>
        <v>-7031.68</v>
      </c>
      <c r="BG118" s="78">
        <f>BE118-AV118</f>
        <v>0</v>
      </c>
      <c r="BH118" s="71">
        <f>BF118</f>
        <v>-7031.68</v>
      </c>
      <c r="BI118" s="33">
        <f>BF118-AV118</f>
        <v>-631.68000000000029</v>
      </c>
      <c r="BJ118" s="33">
        <f>BF118-AU118</f>
        <v>0</v>
      </c>
      <c r="BK118" s="71">
        <f>BH118</f>
        <v>-7031.68</v>
      </c>
      <c r="BL118" s="79">
        <f>BK118-BH118</f>
        <v>0</v>
      </c>
      <c r="BM118" s="79">
        <f>BK118-AV118</f>
        <v>-631.68000000000029</v>
      </c>
      <c r="BN118" s="32"/>
      <c r="BO118" s="32"/>
      <c r="BP118" s="71">
        <v>-5837.02</v>
      </c>
      <c r="BQ118" s="32">
        <f t="shared" si="119"/>
        <v>1194.6599999999999</v>
      </c>
      <c r="BR118" s="32">
        <f t="shared" si="120"/>
        <v>562.97999999999956</v>
      </c>
      <c r="BS118" s="32"/>
      <c r="BT118" s="32"/>
      <c r="BU118" s="33"/>
      <c r="BV118" s="34">
        <f t="shared" si="121"/>
        <v>-631.68000000000029</v>
      </c>
      <c r="BY118" s="82"/>
      <c r="BZ118" s="82"/>
      <c r="CC118" s="37"/>
      <c r="CD118" s="71">
        <v>-7031.68</v>
      </c>
    </row>
    <row r="119" spans="1:82" s="63" customFormat="1" ht="18" customHeight="1" x14ac:dyDescent="0.25">
      <c r="A119" s="96" t="s">
        <v>58</v>
      </c>
      <c r="B119" s="97"/>
      <c r="C119" s="98"/>
      <c r="D119" s="103"/>
      <c r="E119" s="98" t="s">
        <v>388</v>
      </c>
      <c r="F119" s="105"/>
      <c r="G119" s="55">
        <v>0</v>
      </c>
      <c r="H119" s="55">
        <v>0</v>
      </c>
      <c r="I119" s="55">
        <v>0</v>
      </c>
      <c r="J119" s="148"/>
      <c r="K119" s="55">
        <f>K120+K121</f>
        <v>7260.29</v>
      </c>
      <c r="L119" s="55"/>
      <c r="M119" s="55"/>
      <c r="N119" s="55"/>
      <c r="O119" s="55"/>
      <c r="P119" s="55"/>
      <c r="Q119" s="55"/>
      <c r="R119" s="55"/>
      <c r="S119" s="55">
        <f>S120+S121</f>
        <v>0</v>
      </c>
      <c r="T119" s="55">
        <f t="shared" si="90"/>
        <v>0</v>
      </c>
      <c r="U119" s="56">
        <f t="shared" si="91"/>
        <v>-7260.29</v>
      </c>
      <c r="V119" s="55">
        <f t="shared" si="92"/>
        <v>0</v>
      </c>
      <c r="W119" s="57"/>
      <c r="X119" s="58">
        <f>X120+X121</f>
        <v>0</v>
      </c>
      <c r="Y119" s="59">
        <f t="shared" si="93"/>
        <v>0</v>
      </c>
      <c r="Z119" s="33">
        <f t="shared" ref="Z119:AL119" si="228">Z120+Z121</f>
        <v>0</v>
      </c>
      <c r="AA119" s="33">
        <f t="shared" si="228"/>
        <v>0</v>
      </c>
      <c r="AB119" s="33">
        <f t="shared" si="228"/>
        <v>0</v>
      </c>
      <c r="AC119" s="33">
        <f t="shared" si="228"/>
        <v>0</v>
      </c>
      <c r="AD119" s="33">
        <f t="shared" si="228"/>
        <v>0</v>
      </c>
      <c r="AE119" s="33">
        <f t="shared" si="228"/>
        <v>0</v>
      </c>
      <c r="AF119" s="33">
        <f t="shared" si="228"/>
        <v>0</v>
      </c>
      <c r="AG119" s="33">
        <f t="shared" si="228"/>
        <v>0</v>
      </c>
      <c r="AH119" s="33">
        <f t="shared" si="228"/>
        <v>0</v>
      </c>
      <c r="AI119" s="33">
        <f t="shared" si="228"/>
        <v>0</v>
      </c>
      <c r="AJ119" s="33">
        <f t="shared" si="228"/>
        <v>0</v>
      </c>
      <c r="AK119" s="60">
        <f t="shared" si="228"/>
        <v>0</v>
      </c>
      <c r="AL119" s="33">
        <f t="shared" si="228"/>
        <v>0</v>
      </c>
      <c r="AM119" s="27">
        <f t="shared" si="116"/>
        <v>0</v>
      </c>
      <c r="AN119" s="61">
        <f t="shared" si="117"/>
        <v>0</v>
      </c>
      <c r="AO119" s="62">
        <f t="shared" si="118"/>
        <v>0</v>
      </c>
      <c r="AQ119" s="33"/>
      <c r="AR119" s="33"/>
      <c r="AS119" s="33"/>
      <c r="AT119" s="60">
        <f t="shared" ref="AT119:BP119" si="229">AT120+AT121</f>
        <v>0</v>
      </c>
      <c r="AU119" s="33">
        <f t="shared" si="229"/>
        <v>-790.57999999999993</v>
      </c>
      <c r="AV119" s="33">
        <f t="shared" si="229"/>
        <v>0</v>
      </c>
      <c r="AW119" s="33">
        <f t="shared" si="229"/>
        <v>0</v>
      </c>
      <c r="AX119" s="33">
        <f t="shared" si="229"/>
        <v>0</v>
      </c>
      <c r="AY119" s="33">
        <f t="shared" si="229"/>
        <v>0</v>
      </c>
      <c r="AZ119" s="33">
        <f t="shared" si="229"/>
        <v>0</v>
      </c>
      <c r="BA119" s="33">
        <f t="shared" si="229"/>
        <v>0</v>
      </c>
      <c r="BB119" s="33">
        <f t="shared" si="229"/>
        <v>0</v>
      </c>
      <c r="BC119" s="33">
        <f t="shared" si="229"/>
        <v>0</v>
      </c>
      <c r="BD119" s="33">
        <f t="shared" si="229"/>
        <v>0</v>
      </c>
      <c r="BE119" s="33">
        <f t="shared" si="229"/>
        <v>0</v>
      </c>
      <c r="BF119" s="33">
        <f t="shared" si="229"/>
        <v>0</v>
      </c>
      <c r="BG119" s="33">
        <f t="shared" si="229"/>
        <v>0</v>
      </c>
      <c r="BH119" s="33">
        <f t="shared" si="229"/>
        <v>0</v>
      </c>
      <c r="BI119" s="33">
        <f t="shared" si="229"/>
        <v>0</v>
      </c>
      <c r="BJ119" s="33">
        <f t="shared" si="229"/>
        <v>790.57999999999993</v>
      </c>
      <c r="BK119" s="33">
        <f t="shared" si="229"/>
        <v>0</v>
      </c>
      <c r="BL119" s="33">
        <f t="shared" si="229"/>
        <v>0</v>
      </c>
      <c r="BM119" s="33">
        <f t="shared" si="229"/>
        <v>0</v>
      </c>
      <c r="BN119" s="33">
        <f t="shared" si="229"/>
        <v>0</v>
      </c>
      <c r="BO119" s="33">
        <f t="shared" si="229"/>
        <v>0</v>
      </c>
      <c r="BP119" s="33">
        <f t="shared" si="229"/>
        <v>-753.80999999999949</v>
      </c>
      <c r="BQ119" s="32">
        <f t="shared" si="119"/>
        <v>-753.80999999999949</v>
      </c>
      <c r="BR119" s="32">
        <f t="shared" si="120"/>
        <v>-753.80999999999949</v>
      </c>
      <c r="BS119" s="32"/>
      <c r="BT119" s="32"/>
      <c r="BU119" s="33"/>
      <c r="BV119" s="34">
        <f t="shared" si="121"/>
        <v>0</v>
      </c>
      <c r="BY119" s="64"/>
      <c r="BZ119" s="64"/>
      <c r="CC119" s="37"/>
      <c r="CD119" s="33">
        <f>CD120+CD121</f>
        <v>-790.57999999999993</v>
      </c>
    </row>
    <row r="120" spans="1:82" s="77" customFormat="1" ht="18" customHeight="1" x14ac:dyDescent="0.25">
      <c r="A120" s="99" t="s">
        <v>58</v>
      </c>
      <c r="B120" s="100"/>
      <c r="C120" s="101"/>
      <c r="D120" s="93"/>
      <c r="E120" s="98"/>
      <c r="F120" s="121" t="s">
        <v>389</v>
      </c>
      <c r="G120" s="106">
        <v>0</v>
      </c>
      <c r="H120" s="106">
        <v>14926.76</v>
      </c>
      <c r="I120" s="106">
        <v>0</v>
      </c>
      <c r="J120" s="70"/>
      <c r="K120" s="106">
        <v>14926.76</v>
      </c>
      <c r="L120" s="106"/>
      <c r="M120" s="106"/>
      <c r="N120" s="106"/>
      <c r="O120" s="106"/>
      <c r="P120" s="106"/>
      <c r="Q120" s="106"/>
      <c r="R120" s="106"/>
      <c r="S120" s="106">
        <v>7666.47</v>
      </c>
      <c r="T120" s="106">
        <f t="shared" si="90"/>
        <v>7666.47</v>
      </c>
      <c r="U120" s="107">
        <f t="shared" si="91"/>
        <v>-7260.29</v>
      </c>
      <c r="V120" s="106">
        <f t="shared" si="92"/>
        <v>7666.47</v>
      </c>
      <c r="W120" s="108"/>
      <c r="X120" s="109">
        <v>7666.47</v>
      </c>
      <c r="Y120" s="24">
        <f t="shared" si="93"/>
        <v>0</v>
      </c>
      <c r="Z120" s="85">
        <v>0</v>
      </c>
      <c r="AA120" s="29">
        <f>Z120-I120</f>
        <v>0</v>
      </c>
      <c r="AB120" s="29">
        <f>Z120-S120</f>
        <v>-7666.47</v>
      </c>
      <c r="AC120" s="72"/>
      <c r="AD120" s="72"/>
      <c r="AE120" s="72"/>
      <c r="AF120" s="72"/>
      <c r="AG120" s="72"/>
      <c r="AH120" s="85">
        <v>0</v>
      </c>
      <c r="AI120" s="85">
        <v>13000.86</v>
      </c>
      <c r="AJ120" s="149">
        <f>AH120-Z120</f>
        <v>0</v>
      </c>
      <c r="AK120" s="86">
        <v>13000.86</v>
      </c>
      <c r="AL120" s="123">
        <v>13000.86</v>
      </c>
      <c r="AM120" s="27">
        <f t="shared" si="116"/>
        <v>0</v>
      </c>
      <c r="AN120" s="61">
        <f t="shared" si="117"/>
        <v>13000.86</v>
      </c>
      <c r="AO120" s="62">
        <f t="shared" si="118"/>
        <v>13000.86</v>
      </c>
      <c r="AQ120" s="85"/>
      <c r="AR120" s="85"/>
      <c r="AS120" s="85"/>
      <c r="AT120" s="86">
        <v>13000.86</v>
      </c>
      <c r="AU120" s="71">
        <v>13000.86</v>
      </c>
      <c r="AV120" s="71">
        <f>CEILING(AT120,100)</f>
        <v>13100</v>
      </c>
      <c r="AW120" s="71">
        <f>AV120-Z120</f>
        <v>13100</v>
      </c>
      <c r="AX120" s="76">
        <f>AT120-Z120</f>
        <v>13000.86</v>
      </c>
      <c r="AY120" s="76">
        <f>AT120-AL120</f>
        <v>0</v>
      </c>
      <c r="BE120" s="71">
        <v>13100</v>
      </c>
      <c r="BF120" s="71">
        <f>-AU121</f>
        <v>13791.44</v>
      </c>
      <c r="BG120" s="78">
        <f>BE120-AV120</f>
        <v>0</v>
      </c>
      <c r="BH120" s="71">
        <f>BF120</f>
        <v>13791.44</v>
      </c>
      <c r="BI120" s="33">
        <f>BF120-AV120</f>
        <v>691.44000000000051</v>
      </c>
      <c r="BJ120" s="33">
        <f>BF120-AU120</f>
        <v>790.57999999999993</v>
      </c>
      <c r="BK120" s="71">
        <f>BH120</f>
        <v>13791.44</v>
      </c>
      <c r="BL120" s="79">
        <f>BK120-BH120</f>
        <v>0</v>
      </c>
      <c r="BM120" s="79">
        <f>BK120-AV120</f>
        <v>691.44000000000051</v>
      </c>
      <c r="BN120" s="32"/>
      <c r="BO120" s="32"/>
      <c r="BP120" s="71">
        <v>13791.44</v>
      </c>
      <c r="BQ120" s="32">
        <f t="shared" si="119"/>
        <v>0</v>
      </c>
      <c r="BR120" s="32">
        <f t="shared" si="120"/>
        <v>691.44000000000051</v>
      </c>
      <c r="BS120" s="32"/>
      <c r="BT120" s="32"/>
      <c r="BU120" s="33"/>
      <c r="BV120" s="34">
        <f t="shared" si="121"/>
        <v>691.44000000000051</v>
      </c>
      <c r="BY120" s="82"/>
      <c r="BZ120" s="82"/>
      <c r="CC120" s="37"/>
      <c r="CD120" s="71">
        <v>13000.86</v>
      </c>
    </row>
    <row r="121" spans="1:82" s="77" customFormat="1" ht="18" customHeight="1" x14ac:dyDescent="0.25">
      <c r="A121" s="99" t="s">
        <v>58</v>
      </c>
      <c r="B121" s="100"/>
      <c r="C121" s="101"/>
      <c r="D121" s="93"/>
      <c r="E121" s="98"/>
      <c r="F121" s="121" t="s">
        <v>390</v>
      </c>
      <c r="G121" s="106">
        <v>0</v>
      </c>
      <c r="H121" s="106">
        <v>-14926.76</v>
      </c>
      <c r="I121" s="106">
        <v>0</v>
      </c>
      <c r="J121" s="70"/>
      <c r="K121" s="106">
        <v>-7666.47</v>
      </c>
      <c r="L121" s="106"/>
      <c r="M121" s="106"/>
      <c r="N121" s="106"/>
      <c r="O121" s="106"/>
      <c r="P121" s="106"/>
      <c r="Q121" s="106"/>
      <c r="R121" s="106"/>
      <c r="S121" s="106">
        <f>-S120</f>
        <v>-7666.47</v>
      </c>
      <c r="T121" s="106">
        <f t="shared" ref="T121:T130" si="230">S121-I121</f>
        <v>-7666.47</v>
      </c>
      <c r="U121" s="107">
        <f t="shared" ref="U121:U130" si="231">S121-K121</f>
        <v>0</v>
      </c>
      <c r="V121" s="106">
        <f t="shared" ref="V121:V130" si="232">S121-O121</f>
        <v>-7666.47</v>
      </c>
      <c r="W121" s="108"/>
      <c r="X121" s="109">
        <f>-X120</f>
        <v>-7666.47</v>
      </c>
      <c r="Y121" s="24">
        <f t="shared" ref="Y121:Y184" si="233">X121-S121</f>
        <v>0</v>
      </c>
      <c r="Z121" s="85">
        <v>0</v>
      </c>
      <c r="AA121" s="29">
        <f>Z121-I121</f>
        <v>0</v>
      </c>
      <c r="AB121" s="29">
        <f>Z121-S121</f>
        <v>7666.47</v>
      </c>
      <c r="AC121" s="72"/>
      <c r="AD121" s="72"/>
      <c r="AE121" s="72"/>
      <c r="AF121" s="72"/>
      <c r="AG121" s="72"/>
      <c r="AH121" s="85">
        <v>0</v>
      </c>
      <c r="AI121" s="85">
        <f>-AI120</f>
        <v>-13000.86</v>
      </c>
      <c r="AJ121" s="149">
        <f>AH121-Z121</f>
        <v>0</v>
      </c>
      <c r="AK121" s="86">
        <v>-13000.86</v>
      </c>
      <c r="AL121" s="123">
        <f>-AL120</f>
        <v>-13000.86</v>
      </c>
      <c r="AM121" s="27">
        <f t="shared" si="116"/>
        <v>0</v>
      </c>
      <c r="AN121" s="61">
        <f t="shared" si="117"/>
        <v>-13000.86</v>
      </c>
      <c r="AO121" s="62">
        <f t="shared" si="118"/>
        <v>-13000.86</v>
      </c>
      <c r="AQ121" s="85"/>
      <c r="AR121" s="85"/>
      <c r="AS121" s="85"/>
      <c r="AT121" s="86">
        <f>-AT120</f>
        <v>-13000.86</v>
      </c>
      <c r="AU121" s="85">
        <v>-13791.44</v>
      </c>
      <c r="AV121" s="85">
        <f>-AV120</f>
        <v>-13100</v>
      </c>
      <c r="AW121" s="85">
        <f>AV121-Z121</f>
        <v>-13100</v>
      </c>
      <c r="AX121" s="76">
        <f>AT121-Z121</f>
        <v>-13000.86</v>
      </c>
      <c r="AY121" s="76">
        <f>AT121-AL121</f>
        <v>0</v>
      </c>
      <c r="BE121" s="85">
        <v>-13100</v>
      </c>
      <c r="BF121" s="85">
        <f>-BF120</f>
        <v>-13791.44</v>
      </c>
      <c r="BG121" s="78">
        <f>BE121-AV121</f>
        <v>0</v>
      </c>
      <c r="BH121" s="71">
        <f>BF121</f>
        <v>-13791.44</v>
      </c>
      <c r="BI121" s="33">
        <f>BF121-AV121</f>
        <v>-691.44000000000051</v>
      </c>
      <c r="BJ121" s="33">
        <f>BF121-AU121</f>
        <v>0</v>
      </c>
      <c r="BK121" s="71">
        <f>BH121</f>
        <v>-13791.44</v>
      </c>
      <c r="BL121" s="79">
        <f>BK121-BH121</f>
        <v>0</v>
      </c>
      <c r="BM121" s="79">
        <f>BK121-AV121</f>
        <v>-691.44000000000051</v>
      </c>
      <c r="BN121" s="32"/>
      <c r="BO121" s="32"/>
      <c r="BP121" s="71">
        <v>-14545.25</v>
      </c>
      <c r="BQ121" s="32">
        <f t="shared" si="119"/>
        <v>-753.80999999999949</v>
      </c>
      <c r="BR121" s="32">
        <f t="shared" si="120"/>
        <v>-1445.25</v>
      </c>
      <c r="BS121" s="32"/>
      <c r="BT121" s="32"/>
      <c r="BU121" s="33"/>
      <c r="BV121" s="34">
        <f t="shared" si="121"/>
        <v>-691.44000000000051</v>
      </c>
      <c r="BY121" s="82"/>
      <c r="BZ121" s="82"/>
      <c r="CC121" s="37"/>
      <c r="CD121" s="71">
        <v>-13791.44</v>
      </c>
    </row>
    <row r="122" spans="1:82" s="63" customFormat="1" ht="18" customHeight="1" x14ac:dyDescent="0.25">
      <c r="A122" s="96" t="s">
        <v>58</v>
      </c>
      <c r="B122" s="97"/>
      <c r="C122" s="98"/>
      <c r="D122" s="103"/>
      <c r="E122" s="98" t="s">
        <v>391</v>
      </c>
      <c r="F122" s="105"/>
      <c r="G122" s="55">
        <v>0</v>
      </c>
      <c r="H122" s="55">
        <v>0</v>
      </c>
      <c r="I122" s="55">
        <v>0</v>
      </c>
      <c r="J122" s="148"/>
      <c r="K122" s="55">
        <f>K123+K124</f>
        <v>-1154.6500000000005</v>
      </c>
      <c r="L122" s="55"/>
      <c r="M122" s="55"/>
      <c r="N122" s="55"/>
      <c r="O122" s="55"/>
      <c r="P122" s="55"/>
      <c r="Q122" s="55"/>
      <c r="R122" s="55"/>
      <c r="S122" s="55">
        <f>S123+S124</f>
        <v>0</v>
      </c>
      <c r="T122" s="55">
        <f t="shared" si="230"/>
        <v>0</v>
      </c>
      <c r="U122" s="56">
        <f t="shared" si="231"/>
        <v>1154.6500000000005</v>
      </c>
      <c r="V122" s="55">
        <f t="shared" si="232"/>
        <v>0</v>
      </c>
      <c r="W122" s="57"/>
      <c r="X122" s="58">
        <f>X123+X124</f>
        <v>0</v>
      </c>
      <c r="Y122" s="59">
        <f t="shared" si="233"/>
        <v>0</v>
      </c>
      <c r="Z122" s="33">
        <f t="shared" ref="Z122:AJ122" si="234">Z123+Z124</f>
        <v>0</v>
      </c>
      <c r="AA122" s="33">
        <f t="shared" si="234"/>
        <v>0</v>
      </c>
      <c r="AB122" s="33">
        <f t="shared" si="234"/>
        <v>0</v>
      </c>
      <c r="AC122" s="33">
        <f t="shared" si="234"/>
        <v>0</v>
      </c>
      <c r="AD122" s="33">
        <f t="shared" si="234"/>
        <v>0</v>
      </c>
      <c r="AE122" s="33">
        <f t="shared" si="234"/>
        <v>0</v>
      </c>
      <c r="AF122" s="33">
        <f t="shared" si="234"/>
        <v>0</v>
      </c>
      <c r="AG122" s="33">
        <f t="shared" si="234"/>
        <v>0</v>
      </c>
      <c r="AH122" s="33">
        <f t="shared" si="234"/>
        <v>0</v>
      </c>
      <c r="AI122" s="33">
        <f t="shared" si="234"/>
        <v>0</v>
      </c>
      <c r="AJ122" s="33">
        <f t="shared" si="234"/>
        <v>0</v>
      </c>
      <c r="AK122" s="60">
        <v>0</v>
      </c>
      <c r="AL122" s="33">
        <f>AL123+AL124</f>
        <v>0</v>
      </c>
      <c r="AM122" s="27">
        <f t="shared" si="116"/>
        <v>0</v>
      </c>
      <c r="AN122" s="61">
        <f t="shared" si="117"/>
        <v>0</v>
      </c>
      <c r="AO122" s="62">
        <f t="shared" si="118"/>
        <v>0</v>
      </c>
      <c r="AQ122" s="33"/>
      <c r="AR122" s="33"/>
      <c r="AS122" s="33"/>
      <c r="AT122" s="60">
        <f t="shared" ref="AT122:BP122" si="235">AT123+AT124</f>
        <v>0</v>
      </c>
      <c r="AU122" s="33">
        <f t="shared" si="235"/>
        <v>-1074.8400000000001</v>
      </c>
      <c r="AV122" s="33">
        <f t="shared" si="235"/>
        <v>0</v>
      </c>
      <c r="AW122" s="33">
        <f t="shared" si="235"/>
        <v>0</v>
      </c>
      <c r="AX122" s="33">
        <f t="shared" si="235"/>
        <v>0</v>
      </c>
      <c r="AY122" s="33">
        <f t="shared" si="235"/>
        <v>0</v>
      </c>
      <c r="AZ122" s="33">
        <f t="shared" si="235"/>
        <v>0</v>
      </c>
      <c r="BA122" s="33">
        <f t="shared" si="235"/>
        <v>0</v>
      </c>
      <c r="BB122" s="33">
        <f t="shared" si="235"/>
        <v>0</v>
      </c>
      <c r="BC122" s="33">
        <f t="shared" si="235"/>
        <v>0</v>
      </c>
      <c r="BD122" s="33">
        <f t="shared" si="235"/>
        <v>0</v>
      </c>
      <c r="BE122" s="33">
        <f t="shared" si="235"/>
        <v>0</v>
      </c>
      <c r="BF122" s="33">
        <f t="shared" si="235"/>
        <v>0</v>
      </c>
      <c r="BG122" s="33">
        <f t="shared" si="235"/>
        <v>0</v>
      </c>
      <c r="BH122" s="33">
        <f t="shared" si="235"/>
        <v>0</v>
      </c>
      <c r="BI122" s="33">
        <f t="shared" si="235"/>
        <v>0</v>
      </c>
      <c r="BJ122" s="33">
        <f t="shared" si="235"/>
        <v>1074.8400000000001</v>
      </c>
      <c r="BK122" s="33">
        <f t="shared" si="235"/>
        <v>0</v>
      </c>
      <c r="BL122" s="33">
        <f t="shared" si="235"/>
        <v>0</v>
      </c>
      <c r="BM122" s="33">
        <f t="shared" si="235"/>
        <v>0</v>
      </c>
      <c r="BN122" s="33">
        <f t="shared" si="235"/>
        <v>0</v>
      </c>
      <c r="BO122" s="33">
        <f t="shared" si="235"/>
        <v>0</v>
      </c>
      <c r="BP122" s="33">
        <f t="shared" si="235"/>
        <v>-412.86999999999989</v>
      </c>
      <c r="BQ122" s="32">
        <f t="shared" si="119"/>
        <v>-412.86999999999989</v>
      </c>
      <c r="BR122" s="32">
        <f t="shared" si="120"/>
        <v>-412.86999999999989</v>
      </c>
      <c r="BS122" s="32"/>
      <c r="BT122" s="32"/>
      <c r="BU122" s="33"/>
      <c r="BV122" s="34">
        <f t="shared" si="121"/>
        <v>0</v>
      </c>
      <c r="BY122" s="64"/>
      <c r="BZ122" s="64"/>
      <c r="CC122" s="37"/>
      <c r="CD122" s="33">
        <f>CD123+CD124</f>
        <v>-1074.8400000000001</v>
      </c>
    </row>
    <row r="123" spans="1:82" s="77" customFormat="1" ht="18" customHeight="1" x14ac:dyDescent="0.25">
      <c r="A123" s="99" t="s">
        <v>58</v>
      </c>
      <c r="B123" s="100"/>
      <c r="C123" s="101"/>
      <c r="D123" s="93"/>
      <c r="E123" s="98"/>
      <c r="F123" s="121" t="s">
        <v>392</v>
      </c>
      <c r="G123" s="106">
        <v>0</v>
      </c>
      <c r="H123" s="106">
        <v>4778.78</v>
      </c>
      <c r="I123" s="106">
        <v>0</v>
      </c>
      <c r="J123" s="70"/>
      <c r="K123" s="106">
        <v>4778.78</v>
      </c>
      <c r="L123" s="106"/>
      <c r="M123" s="106"/>
      <c r="N123" s="106"/>
      <c r="O123" s="106"/>
      <c r="P123" s="106"/>
      <c r="Q123" s="106"/>
      <c r="R123" s="106"/>
      <c r="S123" s="106">
        <v>5933.43</v>
      </c>
      <c r="T123" s="106">
        <f t="shared" si="230"/>
        <v>5933.43</v>
      </c>
      <c r="U123" s="107">
        <f t="shared" si="231"/>
        <v>1154.6500000000005</v>
      </c>
      <c r="V123" s="106">
        <f t="shared" si="232"/>
        <v>5933.43</v>
      </c>
      <c r="W123" s="108"/>
      <c r="X123" s="109">
        <v>5933.43</v>
      </c>
      <c r="Y123" s="24">
        <f t="shared" si="233"/>
        <v>0</v>
      </c>
      <c r="Z123" s="85">
        <v>0</v>
      </c>
      <c r="AA123" s="29">
        <f>Z123-I123</f>
        <v>0</v>
      </c>
      <c r="AB123" s="29">
        <f>Z123-S123</f>
        <v>-5933.43</v>
      </c>
      <c r="AC123" s="72"/>
      <c r="AD123" s="72"/>
      <c r="AE123" s="72"/>
      <c r="AF123" s="72"/>
      <c r="AG123" s="72"/>
      <c r="AH123" s="85">
        <v>0</v>
      </c>
      <c r="AI123" s="85">
        <v>5409.46</v>
      </c>
      <c r="AJ123" s="149">
        <f>AH123-Z123</f>
        <v>0</v>
      </c>
      <c r="AK123" s="86">
        <v>5409.46</v>
      </c>
      <c r="AL123" s="123">
        <v>5409.46</v>
      </c>
      <c r="AM123" s="27">
        <f t="shared" si="116"/>
        <v>0</v>
      </c>
      <c r="AN123" s="61">
        <f t="shared" si="117"/>
        <v>5409.46</v>
      </c>
      <c r="AO123" s="62">
        <f t="shared" si="118"/>
        <v>5409.46</v>
      </c>
      <c r="AQ123" s="85"/>
      <c r="AR123" s="85"/>
      <c r="AS123" s="85"/>
      <c r="AT123" s="86">
        <v>5409.46</v>
      </c>
      <c r="AU123" s="71">
        <v>5409.46</v>
      </c>
      <c r="AV123" s="71">
        <f>CEILING(AT123,100)</f>
        <v>5500</v>
      </c>
      <c r="AW123" s="71">
        <f>AV123-Z123</f>
        <v>5500</v>
      </c>
      <c r="AX123" s="76">
        <f>AT123-Z123</f>
        <v>5409.46</v>
      </c>
      <c r="AY123" s="76">
        <f>AT123-AL123</f>
        <v>0</v>
      </c>
      <c r="BE123" s="71">
        <v>5500</v>
      </c>
      <c r="BF123" s="71">
        <f>-AU124</f>
        <v>6484.3</v>
      </c>
      <c r="BG123" s="78">
        <f>BE123-AV123</f>
        <v>0</v>
      </c>
      <c r="BH123" s="71">
        <f>BF123</f>
        <v>6484.3</v>
      </c>
      <c r="BI123" s="33">
        <f>BF123-AV123</f>
        <v>984.30000000000018</v>
      </c>
      <c r="BJ123" s="33">
        <f>BF123-AU123</f>
        <v>1074.8400000000001</v>
      </c>
      <c r="BK123" s="71">
        <f>BH123</f>
        <v>6484.3</v>
      </c>
      <c r="BL123" s="79">
        <f>BK123-BH123</f>
        <v>0</v>
      </c>
      <c r="BM123" s="79">
        <f>BK123-AV123</f>
        <v>984.30000000000018</v>
      </c>
      <c r="BN123" s="32"/>
      <c r="BO123" s="32"/>
      <c r="BP123" s="71">
        <v>6484.3</v>
      </c>
      <c r="BQ123" s="32">
        <f t="shared" si="119"/>
        <v>0</v>
      </c>
      <c r="BR123" s="32">
        <f t="shared" si="120"/>
        <v>984.30000000000018</v>
      </c>
      <c r="BS123" s="32"/>
      <c r="BT123" s="32"/>
      <c r="BU123" s="33"/>
      <c r="BV123" s="34">
        <f t="shared" si="121"/>
        <v>984.30000000000018</v>
      </c>
      <c r="BY123" s="82"/>
      <c r="BZ123" s="82"/>
      <c r="CC123" s="37"/>
      <c r="CD123" s="71">
        <v>5409.46</v>
      </c>
    </row>
    <row r="124" spans="1:82" s="77" customFormat="1" ht="18" customHeight="1" x14ac:dyDescent="0.25">
      <c r="A124" s="99" t="s">
        <v>58</v>
      </c>
      <c r="B124" s="100"/>
      <c r="C124" s="101"/>
      <c r="D124" s="93"/>
      <c r="E124" s="98"/>
      <c r="F124" s="121" t="s">
        <v>393</v>
      </c>
      <c r="G124" s="106">
        <v>0</v>
      </c>
      <c r="H124" s="106">
        <v>-4778.78</v>
      </c>
      <c r="I124" s="106">
        <v>0</v>
      </c>
      <c r="J124" s="70"/>
      <c r="K124" s="106">
        <v>-5933.43</v>
      </c>
      <c r="L124" s="106"/>
      <c r="M124" s="106"/>
      <c r="N124" s="106"/>
      <c r="O124" s="106"/>
      <c r="P124" s="106"/>
      <c r="Q124" s="106"/>
      <c r="R124" s="106"/>
      <c r="S124" s="106">
        <f>-S123</f>
        <v>-5933.43</v>
      </c>
      <c r="T124" s="106">
        <f t="shared" si="230"/>
        <v>-5933.43</v>
      </c>
      <c r="U124" s="107">
        <f t="shared" si="231"/>
        <v>0</v>
      </c>
      <c r="V124" s="106">
        <f t="shared" si="232"/>
        <v>-5933.43</v>
      </c>
      <c r="W124" s="108"/>
      <c r="X124" s="109">
        <f>-X123</f>
        <v>-5933.43</v>
      </c>
      <c r="Y124" s="24">
        <f t="shared" si="233"/>
        <v>0</v>
      </c>
      <c r="Z124" s="85">
        <v>0</v>
      </c>
      <c r="AA124" s="29">
        <f>Z124-I124</f>
        <v>0</v>
      </c>
      <c r="AB124" s="29">
        <f>Z124-S124</f>
        <v>5933.43</v>
      </c>
      <c r="AC124" s="72"/>
      <c r="AD124" s="72"/>
      <c r="AE124" s="72"/>
      <c r="AF124" s="72"/>
      <c r="AG124" s="72"/>
      <c r="AH124" s="85">
        <f>-AH123</f>
        <v>0</v>
      </c>
      <c r="AI124" s="85">
        <f>-AI123</f>
        <v>-5409.46</v>
      </c>
      <c r="AJ124" s="149">
        <f>AH124-Z124</f>
        <v>0</v>
      </c>
      <c r="AK124" s="86">
        <v>-5409.46</v>
      </c>
      <c r="AL124" s="123">
        <f>-5409.46</f>
        <v>-5409.46</v>
      </c>
      <c r="AM124" s="27">
        <f t="shared" si="116"/>
        <v>0</v>
      </c>
      <c r="AN124" s="61">
        <f t="shared" si="117"/>
        <v>-5409.46</v>
      </c>
      <c r="AO124" s="62">
        <f t="shared" si="118"/>
        <v>-5409.46</v>
      </c>
      <c r="AQ124" s="85"/>
      <c r="AR124" s="85"/>
      <c r="AS124" s="85"/>
      <c r="AT124" s="86">
        <f>-5409.46</f>
        <v>-5409.46</v>
      </c>
      <c r="AU124" s="85">
        <v>-6484.3</v>
      </c>
      <c r="AV124" s="85">
        <f>-AV123</f>
        <v>-5500</v>
      </c>
      <c r="AW124" s="85">
        <f>AV124-Z124</f>
        <v>-5500</v>
      </c>
      <c r="AX124" s="76">
        <f>AT124-Z124</f>
        <v>-5409.46</v>
      </c>
      <c r="AY124" s="76">
        <f>AT124-AL124</f>
        <v>0</v>
      </c>
      <c r="BE124" s="85">
        <v>-5500</v>
      </c>
      <c r="BF124" s="85">
        <f>-BF123</f>
        <v>-6484.3</v>
      </c>
      <c r="BG124" s="78">
        <f>BE124-AV124</f>
        <v>0</v>
      </c>
      <c r="BH124" s="71">
        <f>BF124</f>
        <v>-6484.3</v>
      </c>
      <c r="BI124" s="33">
        <f>BF124-AV124</f>
        <v>-984.30000000000018</v>
      </c>
      <c r="BJ124" s="33">
        <f>BF124-AU124</f>
        <v>0</v>
      </c>
      <c r="BK124" s="71">
        <f>BH124</f>
        <v>-6484.3</v>
      </c>
      <c r="BL124" s="79">
        <f>BK124-BH124</f>
        <v>0</v>
      </c>
      <c r="BM124" s="79">
        <f>BK124-AV124</f>
        <v>-984.30000000000018</v>
      </c>
      <c r="BN124" s="32"/>
      <c r="BO124" s="32"/>
      <c r="BP124" s="71">
        <v>-6897.17</v>
      </c>
      <c r="BQ124" s="32">
        <f t="shared" si="119"/>
        <v>-412.86999999999989</v>
      </c>
      <c r="BR124" s="32">
        <f t="shared" si="120"/>
        <v>-1397.17</v>
      </c>
      <c r="BS124" s="32"/>
      <c r="BT124" s="32"/>
      <c r="BU124" s="33"/>
      <c r="BV124" s="34">
        <f t="shared" si="121"/>
        <v>-984.30000000000018</v>
      </c>
      <c r="BY124" s="82"/>
      <c r="BZ124" s="82"/>
      <c r="CC124" s="37"/>
      <c r="CD124" s="71">
        <v>-6484.3</v>
      </c>
    </row>
    <row r="125" spans="1:82" s="63" customFormat="1" ht="18" customHeight="1" x14ac:dyDescent="0.25">
      <c r="A125" s="96" t="s">
        <v>58</v>
      </c>
      <c r="B125" s="97"/>
      <c r="C125" s="98"/>
      <c r="D125" s="103"/>
      <c r="E125" s="98" t="s">
        <v>394</v>
      </c>
      <c r="F125" s="105"/>
      <c r="G125" s="55">
        <v>0</v>
      </c>
      <c r="H125" s="55">
        <v>0</v>
      </c>
      <c r="I125" s="55">
        <v>0</v>
      </c>
      <c r="J125" s="148"/>
      <c r="K125" s="55">
        <f>K126+K127</f>
        <v>-2633.5</v>
      </c>
      <c r="L125" s="55"/>
      <c r="M125" s="55"/>
      <c r="N125" s="55"/>
      <c r="O125" s="55"/>
      <c r="P125" s="55"/>
      <c r="Q125" s="55"/>
      <c r="R125" s="55"/>
      <c r="S125" s="55">
        <f>S126+S127</f>
        <v>0</v>
      </c>
      <c r="T125" s="55">
        <f t="shared" si="230"/>
        <v>0</v>
      </c>
      <c r="U125" s="56">
        <f t="shared" si="231"/>
        <v>2633.5</v>
      </c>
      <c r="V125" s="55">
        <f t="shared" si="232"/>
        <v>0</v>
      </c>
      <c r="W125" s="57"/>
      <c r="X125" s="58">
        <f>X126+X127</f>
        <v>0</v>
      </c>
      <c r="Y125" s="59">
        <f t="shared" si="233"/>
        <v>0</v>
      </c>
      <c r="Z125" s="33">
        <f t="shared" ref="Z125:AL125" si="236">Z126+Z127</f>
        <v>0</v>
      </c>
      <c r="AA125" s="33">
        <f t="shared" si="236"/>
        <v>0</v>
      </c>
      <c r="AB125" s="33">
        <f t="shared" si="236"/>
        <v>0</v>
      </c>
      <c r="AC125" s="33">
        <f t="shared" si="236"/>
        <v>0</v>
      </c>
      <c r="AD125" s="33">
        <f t="shared" si="236"/>
        <v>0</v>
      </c>
      <c r="AE125" s="33">
        <f t="shared" si="236"/>
        <v>0</v>
      </c>
      <c r="AF125" s="33">
        <f t="shared" si="236"/>
        <v>0</v>
      </c>
      <c r="AG125" s="33">
        <f t="shared" si="236"/>
        <v>0</v>
      </c>
      <c r="AH125" s="33">
        <f t="shared" si="236"/>
        <v>0</v>
      </c>
      <c r="AI125" s="33">
        <f t="shared" si="236"/>
        <v>0</v>
      </c>
      <c r="AJ125" s="33">
        <f t="shared" si="236"/>
        <v>0</v>
      </c>
      <c r="AK125" s="60">
        <f t="shared" si="236"/>
        <v>0</v>
      </c>
      <c r="AL125" s="33">
        <f t="shared" si="236"/>
        <v>0</v>
      </c>
      <c r="AM125" s="27">
        <f t="shared" si="116"/>
        <v>0</v>
      </c>
      <c r="AN125" s="61">
        <f t="shared" si="117"/>
        <v>0</v>
      </c>
      <c r="AO125" s="62">
        <f t="shared" si="118"/>
        <v>0</v>
      </c>
      <c r="AQ125" s="33"/>
      <c r="AR125" s="33"/>
      <c r="AS125" s="33"/>
      <c r="AT125" s="60">
        <f t="shared" ref="AT125:BP125" si="237">AT126+AT127</f>
        <v>0</v>
      </c>
      <c r="AU125" s="33">
        <f t="shared" si="237"/>
        <v>-3948.09</v>
      </c>
      <c r="AV125" s="33">
        <f t="shared" si="237"/>
        <v>0</v>
      </c>
      <c r="AW125" s="33">
        <f t="shared" si="237"/>
        <v>0</v>
      </c>
      <c r="AX125" s="33">
        <f t="shared" si="237"/>
        <v>0</v>
      </c>
      <c r="AY125" s="33">
        <f t="shared" si="237"/>
        <v>0</v>
      </c>
      <c r="AZ125" s="33">
        <f t="shared" si="237"/>
        <v>0</v>
      </c>
      <c r="BA125" s="33">
        <f t="shared" si="237"/>
        <v>0</v>
      </c>
      <c r="BB125" s="33">
        <f t="shared" si="237"/>
        <v>0</v>
      </c>
      <c r="BC125" s="33">
        <f t="shared" si="237"/>
        <v>0</v>
      </c>
      <c r="BD125" s="33">
        <f t="shared" si="237"/>
        <v>0</v>
      </c>
      <c r="BE125" s="33">
        <f t="shared" si="237"/>
        <v>0</v>
      </c>
      <c r="BF125" s="33">
        <f t="shared" si="237"/>
        <v>0</v>
      </c>
      <c r="BG125" s="33">
        <f t="shared" si="237"/>
        <v>0</v>
      </c>
      <c r="BH125" s="33">
        <f t="shared" si="237"/>
        <v>0</v>
      </c>
      <c r="BI125" s="33">
        <f t="shared" si="237"/>
        <v>0</v>
      </c>
      <c r="BJ125" s="33">
        <f t="shared" si="237"/>
        <v>3948.09</v>
      </c>
      <c r="BK125" s="33">
        <f t="shared" si="237"/>
        <v>0</v>
      </c>
      <c r="BL125" s="33">
        <f t="shared" si="237"/>
        <v>0</v>
      </c>
      <c r="BM125" s="33">
        <f t="shared" si="237"/>
        <v>0</v>
      </c>
      <c r="BN125" s="33">
        <f t="shared" si="237"/>
        <v>0</v>
      </c>
      <c r="BO125" s="33">
        <f t="shared" si="237"/>
        <v>0</v>
      </c>
      <c r="BP125" s="33">
        <f t="shared" si="237"/>
        <v>4882.2400000000007</v>
      </c>
      <c r="BQ125" s="32">
        <f t="shared" si="119"/>
        <v>4882.2400000000007</v>
      </c>
      <c r="BR125" s="32">
        <f t="shared" si="120"/>
        <v>4882.2400000000007</v>
      </c>
      <c r="BS125" s="32"/>
      <c r="BT125" s="32"/>
      <c r="BU125" s="33"/>
      <c r="BV125" s="34">
        <f t="shared" si="121"/>
        <v>0</v>
      </c>
      <c r="BY125" s="64"/>
      <c r="BZ125" s="64"/>
      <c r="CC125" s="37"/>
      <c r="CD125" s="33">
        <f>CD126+CD127</f>
        <v>-3948.09</v>
      </c>
    </row>
    <row r="126" spans="1:82" s="77" customFormat="1" ht="18" customHeight="1" x14ac:dyDescent="0.25">
      <c r="A126" s="99" t="s">
        <v>58</v>
      </c>
      <c r="B126" s="100"/>
      <c r="C126" s="101"/>
      <c r="D126" s="93"/>
      <c r="E126" s="98"/>
      <c r="F126" s="121" t="s">
        <v>395</v>
      </c>
      <c r="G126" s="106">
        <v>0</v>
      </c>
      <c r="H126" s="106">
        <v>5323.24</v>
      </c>
      <c r="I126" s="106">
        <v>0</v>
      </c>
      <c r="J126" s="70"/>
      <c r="K126" s="106">
        <v>5323.24</v>
      </c>
      <c r="L126" s="106"/>
      <c r="M126" s="106"/>
      <c r="N126" s="106"/>
      <c r="O126" s="106"/>
      <c r="P126" s="106"/>
      <c r="Q126" s="106"/>
      <c r="R126" s="106"/>
      <c r="S126" s="106">
        <v>7956.74</v>
      </c>
      <c r="T126" s="106">
        <f t="shared" si="230"/>
        <v>7956.74</v>
      </c>
      <c r="U126" s="107">
        <f t="shared" si="231"/>
        <v>2633.5</v>
      </c>
      <c r="V126" s="106">
        <f t="shared" si="232"/>
        <v>7956.74</v>
      </c>
      <c r="W126" s="108"/>
      <c r="X126" s="109">
        <v>7956.74</v>
      </c>
      <c r="Y126" s="24">
        <f t="shared" si="233"/>
        <v>0</v>
      </c>
      <c r="Z126" s="85">
        <v>0</v>
      </c>
      <c r="AA126" s="29">
        <f>Z126-I126</f>
        <v>0</v>
      </c>
      <c r="AB126" s="29">
        <f>Z126-S126</f>
        <v>-7956.74</v>
      </c>
      <c r="AC126" s="72"/>
      <c r="AD126" s="72"/>
      <c r="AE126" s="72"/>
      <c r="AF126" s="72"/>
      <c r="AG126" s="72"/>
      <c r="AH126" s="85">
        <v>0</v>
      </c>
      <c r="AI126" s="85">
        <v>6500.26</v>
      </c>
      <c r="AJ126" s="149">
        <f>AH126-Z126</f>
        <v>0</v>
      </c>
      <c r="AK126" s="86">
        <v>6500.26</v>
      </c>
      <c r="AL126" s="123">
        <v>6500.26</v>
      </c>
      <c r="AM126" s="27">
        <f t="shared" si="116"/>
        <v>0</v>
      </c>
      <c r="AN126" s="61">
        <f t="shared" si="117"/>
        <v>6500.26</v>
      </c>
      <c r="AO126" s="62">
        <f t="shared" si="118"/>
        <v>6500.26</v>
      </c>
      <c r="AQ126" s="85"/>
      <c r="AR126" s="85"/>
      <c r="AS126" s="85"/>
      <c r="AT126" s="86">
        <v>6500.26</v>
      </c>
      <c r="AU126" s="71">
        <v>6500.26</v>
      </c>
      <c r="AV126" s="71">
        <f>CEILING(AT126,100)</f>
        <v>6600</v>
      </c>
      <c r="AW126" s="71">
        <f>AV126-Z126</f>
        <v>6600</v>
      </c>
      <c r="AX126" s="76">
        <f>AT126-Z126</f>
        <v>6500.26</v>
      </c>
      <c r="AY126" s="76">
        <f>AT126-AL126</f>
        <v>0</v>
      </c>
      <c r="BE126" s="71">
        <v>6600</v>
      </c>
      <c r="BF126" s="71">
        <f>-AU127</f>
        <v>10448.35</v>
      </c>
      <c r="BG126" s="78">
        <f>BE126-AV126</f>
        <v>0</v>
      </c>
      <c r="BH126" s="71">
        <f>BF126</f>
        <v>10448.35</v>
      </c>
      <c r="BI126" s="33">
        <f>BF126-AV126</f>
        <v>3848.3500000000004</v>
      </c>
      <c r="BJ126" s="33">
        <f>BF126-AU126</f>
        <v>3948.09</v>
      </c>
      <c r="BK126" s="71">
        <f>BH126</f>
        <v>10448.35</v>
      </c>
      <c r="BL126" s="79">
        <f>BK126-BH126</f>
        <v>0</v>
      </c>
      <c r="BM126" s="79">
        <f>BK126-AV126</f>
        <v>3848.3500000000004</v>
      </c>
      <c r="BN126" s="32"/>
      <c r="BO126" s="32"/>
      <c r="BP126" s="71">
        <v>10448.35</v>
      </c>
      <c r="BQ126" s="32">
        <f t="shared" si="119"/>
        <v>0</v>
      </c>
      <c r="BR126" s="32">
        <f t="shared" si="120"/>
        <v>3848.3500000000004</v>
      </c>
      <c r="BS126" s="32"/>
      <c r="BT126" s="32"/>
      <c r="BU126" s="33"/>
      <c r="BV126" s="34">
        <f t="shared" si="121"/>
        <v>3848.3500000000004</v>
      </c>
      <c r="BY126" s="82"/>
      <c r="BZ126" s="82"/>
      <c r="CC126" s="37"/>
      <c r="CD126" s="71">
        <v>6500.26</v>
      </c>
    </row>
    <row r="127" spans="1:82" s="77" customFormat="1" ht="18" customHeight="1" x14ac:dyDescent="0.25">
      <c r="A127" s="99" t="s">
        <v>58</v>
      </c>
      <c r="B127" s="100"/>
      <c r="C127" s="101"/>
      <c r="D127" s="93"/>
      <c r="E127" s="98"/>
      <c r="F127" s="121" t="s">
        <v>396</v>
      </c>
      <c r="G127" s="106">
        <v>0</v>
      </c>
      <c r="H127" s="106">
        <v>-5323.24</v>
      </c>
      <c r="I127" s="106">
        <v>0</v>
      </c>
      <c r="J127" s="70"/>
      <c r="K127" s="106">
        <v>-7956.74</v>
      </c>
      <c r="L127" s="106"/>
      <c r="M127" s="106"/>
      <c r="N127" s="106"/>
      <c r="O127" s="106"/>
      <c r="P127" s="106"/>
      <c r="Q127" s="106"/>
      <c r="R127" s="106"/>
      <c r="S127" s="106">
        <f>-S126</f>
        <v>-7956.74</v>
      </c>
      <c r="T127" s="106">
        <f t="shared" si="230"/>
        <v>-7956.74</v>
      </c>
      <c r="U127" s="107">
        <f t="shared" si="231"/>
        <v>0</v>
      </c>
      <c r="V127" s="106">
        <f t="shared" si="232"/>
        <v>-7956.74</v>
      </c>
      <c r="W127" s="108"/>
      <c r="X127" s="109">
        <f>-X126</f>
        <v>-7956.74</v>
      </c>
      <c r="Y127" s="24">
        <f t="shared" si="233"/>
        <v>0</v>
      </c>
      <c r="Z127" s="85">
        <v>0</v>
      </c>
      <c r="AA127" s="29">
        <f>Z127-I127</f>
        <v>0</v>
      </c>
      <c r="AB127" s="29">
        <f>Z127-S127</f>
        <v>7956.74</v>
      </c>
      <c r="AC127" s="72"/>
      <c r="AD127" s="72"/>
      <c r="AE127" s="72"/>
      <c r="AF127" s="72"/>
      <c r="AG127" s="72"/>
      <c r="AH127" s="85">
        <f>-AH126</f>
        <v>0</v>
      </c>
      <c r="AI127" s="85">
        <f>-AI126</f>
        <v>-6500.26</v>
      </c>
      <c r="AJ127" s="149">
        <f>AH127-Z127</f>
        <v>0</v>
      </c>
      <c r="AK127" s="86">
        <v>-6500.26</v>
      </c>
      <c r="AL127" s="123">
        <f>-6500.26</f>
        <v>-6500.26</v>
      </c>
      <c r="AM127" s="27">
        <f t="shared" si="116"/>
        <v>0</v>
      </c>
      <c r="AN127" s="61">
        <f t="shared" si="117"/>
        <v>-6500.26</v>
      </c>
      <c r="AO127" s="62">
        <f t="shared" si="118"/>
        <v>-6500.26</v>
      </c>
      <c r="AQ127" s="85"/>
      <c r="AR127" s="85"/>
      <c r="AS127" s="85"/>
      <c r="AT127" s="86">
        <f>-6500.26</f>
        <v>-6500.26</v>
      </c>
      <c r="AU127" s="85">
        <v>-10448.35</v>
      </c>
      <c r="AV127" s="85">
        <f>-AV126</f>
        <v>-6600</v>
      </c>
      <c r="AW127" s="85">
        <f>AV127-Z127</f>
        <v>-6600</v>
      </c>
      <c r="AX127" s="76">
        <f>AT127-Z127</f>
        <v>-6500.26</v>
      </c>
      <c r="AY127" s="76">
        <f>AT127-AL127</f>
        <v>0</v>
      </c>
      <c r="BE127" s="85">
        <v>-6600</v>
      </c>
      <c r="BF127" s="85">
        <f>-BF126</f>
        <v>-10448.35</v>
      </c>
      <c r="BG127" s="78">
        <f>BE127-AV127</f>
        <v>0</v>
      </c>
      <c r="BH127" s="71">
        <f>BF127</f>
        <v>-10448.35</v>
      </c>
      <c r="BI127" s="33">
        <f>BF127-AV127</f>
        <v>-3848.3500000000004</v>
      </c>
      <c r="BJ127" s="33">
        <f>BF127-AU127</f>
        <v>0</v>
      </c>
      <c r="BK127" s="71">
        <f>BH127</f>
        <v>-10448.35</v>
      </c>
      <c r="BL127" s="79">
        <f>BK127-BH127</f>
        <v>0</v>
      </c>
      <c r="BM127" s="79">
        <f>BK127-AV127</f>
        <v>-3848.3500000000004</v>
      </c>
      <c r="BN127" s="32"/>
      <c r="BO127" s="32"/>
      <c r="BP127" s="71">
        <v>-5566.11</v>
      </c>
      <c r="BQ127" s="32">
        <f t="shared" si="119"/>
        <v>4882.2400000000007</v>
      </c>
      <c r="BR127" s="32">
        <f t="shared" si="120"/>
        <v>1033.8900000000003</v>
      </c>
      <c r="BS127" s="32"/>
      <c r="BT127" s="32"/>
      <c r="BU127" s="33"/>
      <c r="BV127" s="34">
        <f t="shared" si="121"/>
        <v>-3848.3500000000004</v>
      </c>
      <c r="BY127" s="82"/>
      <c r="BZ127" s="82"/>
      <c r="CC127" s="37"/>
      <c r="CD127" s="71">
        <v>-10448.35</v>
      </c>
    </row>
    <row r="128" spans="1:82" s="63" customFormat="1" ht="18" customHeight="1" x14ac:dyDescent="0.25">
      <c r="A128" s="96" t="s">
        <v>58</v>
      </c>
      <c r="B128" s="97"/>
      <c r="C128" s="98"/>
      <c r="D128" s="103"/>
      <c r="E128" s="98" t="s">
        <v>397</v>
      </c>
      <c r="F128" s="105"/>
      <c r="G128" s="55">
        <v>-24800</v>
      </c>
      <c r="H128" s="55">
        <v>0</v>
      </c>
      <c r="I128" s="55">
        <v>0</v>
      </c>
      <c r="J128" s="148"/>
      <c r="K128" s="55">
        <f>K129+K130</f>
        <v>31816.5</v>
      </c>
      <c r="L128" s="55"/>
      <c r="M128" s="55"/>
      <c r="N128" s="55"/>
      <c r="O128" s="55"/>
      <c r="P128" s="55"/>
      <c r="Q128" s="55"/>
      <c r="R128" s="55"/>
      <c r="S128" s="55">
        <f>S129+S130</f>
        <v>9976.8000000000029</v>
      </c>
      <c r="T128" s="55">
        <f t="shared" si="230"/>
        <v>9976.8000000000029</v>
      </c>
      <c r="U128" s="56">
        <f t="shared" si="231"/>
        <v>-21839.699999999997</v>
      </c>
      <c r="V128" s="55">
        <f t="shared" si="232"/>
        <v>9976.8000000000029</v>
      </c>
      <c r="W128" s="57"/>
      <c r="X128" s="58">
        <f>X129+X130</f>
        <v>9976.8000000000029</v>
      </c>
      <c r="Y128" s="59">
        <f t="shared" si="233"/>
        <v>0</v>
      </c>
      <c r="Z128" s="33">
        <f t="shared" ref="Z128:AL128" si="238">Z129+Z130</f>
        <v>9146</v>
      </c>
      <c r="AA128" s="33">
        <f t="shared" si="238"/>
        <v>9146</v>
      </c>
      <c r="AB128" s="33">
        <f t="shared" si="238"/>
        <v>-830.80000000000291</v>
      </c>
      <c r="AC128" s="33">
        <f t="shared" si="238"/>
        <v>0</v>
      </c>
      <c r="AD128" s="33">
        <f t="shared" si="238"/>
        <v>0</v>
      </c>
      <c r="AE128" s="33">
        <f t="shared" si="238"/>
        <v>0</v>
      </c>
      <c r="AF128" s="33">
        <f t="shared" si="238"/>
        <v>0</v>
      </c>
      <c r="AG128" s="33">
        <f t="shared" si="238"/>
        <v>0</v>
      </c>
      <c r="AH128" s="33">
        <f t="shared" si="238"/>
        <v>9145.4099999999962</v>
      </c>
      <c r="AI128" s="33">
        <f t="shared" si="238"/>
        <v>9146</v>
      </c>
      <c r="AJ128" s="33">
        <f t="shared" si="238"/>
        <v>-0.5900000000037835</v>
      </c>
      <c r="AK128" s="60">
        <f t="shared" si="238"/>
        <v>9146</v>
      </c>
      <c r="AL128" s="33">
        <f t="shared" si="238"/>
        <v>9146</v>
      </c>
      <c r="AM128" s="27">
        <f t="shared" si="116"/>
        <v>0</v>
      </c>
      <c r="AN128" s="61">
        <f t="shared" si="117"/>
        <v>0</v>
      </c>
      <c r="AO128" s="62">
        <f t="shared" si="118"/>
        <v>0</v>
      </c>
      <c r="AQ128" s="33" t="s">
        <v>271</v>
      </c>
      <c r="AR128" s="33" t="s">
        <v>271</v>
      </c>
      <c r="AS128" s="33" t="s">
        <v>271</v>
      </c>
      <c r="AT128" s="60">
        <f t="shared" ref="AT128:BP128" si="239">AT129+AT130</f>
        <v>9164</v>
      </c>
      <c r="AU128" s="33">
        <f t="shared" si="239"/>
        <v>3276.4199999999983</v>
      </c>
      <c r="AV128" s="33">
        <f t="shared" si="239"/>
        <v>9200</v>
      </c>
      <c r="AW128" s="33">
        <f t="shared" si="239"/>
        <v>54</v>
      </c>
      <c r="AX128" s="33">
        <f t="shared" si="239"/>
        <v>18</v>
      </c>
      <c r="AY128" s="33">
        <f t="shared" si="239"/>
        <v>18</v>
      </c>
      <c r="AZ128" s="33">
        <f t="shared" si="239"/>
        <v>0</v>
      </c>
      <c r="BA128" s="33">
        <f t="shared" si="239"/>
        <v>0</v>
      </c>
      <c r="BB128" s="33">
        <f t="shared" si="239"/>
        <v>0</v>
      </c>
      <c r="BC128" s="33">
        <f t="shared" si="239"/>
        <v>0</v>
      </c>
      <c r="BD128" s="33">
        <f t="shared" si="239"/>
        <v>0</v>
      </c>
      <c r="BE128" s="33">
        <f t="shared" si="239"/>
        <v>9200</v>
      </c>
      <c r="BF128" s="33">
        <f t="shared" si="239"/>
        <v>9200</v>
      </c>
      <c r="BG128" s="33">
        <f t="shared" si="239"/>
        <v>0</v>
      </c>
      <c r="BH128" s="33">
        <f t="shared" si="239"/>
        <v>9200</v>
      </c>
      <c r="BI128" s="33">
        <f t="shared" si="239"/>
        <v>0</v>
      </c>
      <c r="BJ128" s="33">
        <f t="shared" si="239"/>
        <v>5923.5800000000017</v>
      </c>
      <c r="BK128" s="33">
        <f t="shared" si="239"/>
        <v>9200</v>
      </c>
      <c r="BL128" s="33">
        <f t="shared" si="239"/>
        <v>0</v>
      </c>
      <c r="BM128" s="33">
        <f t="shared" si="239"/>
        <v>0</v>
      </c>
      <c r="BN128" s="33" t="e">
        <f t="shared" si="239"/>
        <v>#VALUE!</v>
      </c>
      <c r="BO128" s="33" t="e">
        <f t="shared" si="239"/>
        <v>#VALUE!</v>
      </c>
      <c r="BP128" s="33">
        <f t="shared" si="239"/>
        <v>41206.26</v>
      </c>
      <c r="BQ128" s="32">
        <f t="shared" si="119"/>
        <v>32006.260000000002</v>
      </c>
      <c r="BR128" s="32">
        <f t="shared" si="120"/>
        <v>32006.260000000002</v>
      </c>
      <c r="BS128" s="32"/>
      <c r="BT128" s="32"/>
      <c r="BU128" s="33"/>
      <c r="BV128" s="34">
        <f t="shared" si="121"/>
        <v>0</v>
      </c>
      <c r="BY128" s="64"/>
      <c r="BZ128" s="64"/>
      <c r="CC128" s="37"/>
      <c r="CD128" s="33">
        <f>CD129+CD130</f>
        <v>3276.4199999999983</v>
      </c>
    </row>
    <row r="129" spans="1:82" s="77" customFormat="1" ht="18" customHeight="1" x14ac:dyDescent="0.25">
      <c r="A129" s="99" t="s">
        <v>58</v>
      </c>
      <c r="B129" s="100"/>
      <c r="C129" s="101"/>
      <c r="D129" s="93"/>
      <c r="E129" s="98"/>
      <c r="F129" s="121" t="s">
        <v>398</v>
      </c>
      <c r="G129" s="106">
        <v>0</v>
      </c>
      <c r="H129" s="106">
        <v>105103</v>
      </c>
      <c r="I129" s="106">
        <v>0</v>
      </c>
      <c r="J129" s="70"/>
      <c r="K129" s="106">
        <v>105103</v>
      </c>
      <c r="L129" s="106"/>
      <c r="M129" s="106"/>
      <c r="N129" s="106"/>
      <c r="O129" s="106"/>
      <c r="P129" s="106"/>
      <c r="Q129" s="106"/>
      <c r="R129" s="106"/>
      <c r="S129" s="106">
        <v>73286.5</v>
      </c>
      <c r="T129" s="106">
        <f t="shared" si="230"/>
        <v>73286.5</v>
      </c>
      <c r="U129" s="107">
        <f t="shared" si="231"/>
        <v>-31816.5</v>
      </c>
      <c r="V129" s="106">
        <f t="shared" si="232"/>
        <v>73286.5</v>
      </c>
      <c r="W129" s="108"/>
      <c r="X129" s="109">
        <v>73286.5</v>
      </c>
      <c r="Y129" s="24">
        <f t="shared" si="233"/>
        <v>0</v>
      </c>
      <c r="Z129" s="85">
        <v>63310</v>
      </c>
      <c r="AA129" s="29">
        <f>Z129-I129</f>
        <v>63310</v>
      </c>
      <c r="AB129" s="29">
        <f>Z129-S129</f>
        <v>-9976.5</v>
      </c>
      <c r="AC129" s="72"/>
      <c r="AD129" s="72"/>
      <c r="AE129" s="72"/>
      <c r="AF129" s="72"/>
      <c r="AG129" s="72"/>
      <c r="AH129" s="85">
        <v>63309.7</v>
      </c>
      <c r="AI129" s="85">
        <v>63310</v>
      </c>
      <c r="AJ129" s="85">
        <f>AH129-Z129</f>
        <v>-0.30000000000291038</v>
      </c>
      <c r="AK129" s="86">
        <v>63310</v>
      </c>
      <c r="AL129" s="123">
        <f>Z129</f>
        <v>63310</v>
      </c>
      <c r="AM129" s="27">
        <f t="shared" si="116"/>
        <v>0</v>
      </c>
      <c r="AN129" s="61">
        <f t="shared" si="117"/>
        <v>0</v>
      </c>
      <c r="AO129" s="62">
        <f t="shared" si="118"/>
        <v>0</v>
      </c>
      <c r="AQ129" s="85"/>
      <c r="AR129" s="85"/>
      <c r="AS129" s="85"/>
      <c r="AT129" s="86">
        <v>54164</v>
      </c>
      <c r="AU129" s="71">
        <v>64666.9</v>
      </c>
      <c r="AV129" s="150">
        <f>CEILING(AT129,100)</f>
        <v>54200</v>
      </c>
      <c r="AW129" s="71">
        <f>AV129-Z129</f>
        <v>-9110</v>
      </c>
      <c r="AX129" s="76">
        <f>AT129-Z129</f>
        <v>-9146</v>
      </c>
      <c r="AY129" s="76">
        <f>AT129-AL129</f>
        <v>-9146</v>
      </c>
      <c r="BE129" s="71">
        <v>54200</v>
      </c>
      <c r="BF129" s="71">
        <f>-AU130</f>
        <v>61390.48</v>
      </c>
      <c r="BG129" s="78">
        <f>BE129-AV129</f>
        <v>0</v>
      </c>
      <c r="BH129" s="71">
        <f>BF129</f>
        <v>61390.48</v>
      </c>
      <c r="BI129" s="33">
        <f>BF129-AV129</f>
        <v>7190.4800000000032</v>
      </c>
      <c r="BJ129" s="33">
        <f>BF129-AU129</f>
        <v>-3276.4199999999983</v>
      </c>
      <c r="BK129" s="71">
        <f>BH129</f>
        <v>61390.48</v>
      </c>
      <c r="BL129" s="79">
        <f>BK129-BH129</f>
        <v>0</v>
      </c>
      <c r="BM129" s="79">
        <f>BK129-AV129</f>
        <v>7190.4800000000032</v>
      </c>
      <c r="BN129" s="151" t="s">
        <v>399</v>
      </c>
      <c r="BO129" s="151" t="s">
        <v>399</v>
      </c>
      <c r="BP129" s="71">
        <v>61390.48</v>
      </c>
      <c r="BQ129" s="32">
        <f t="shared" si="119"/>
        <v>0</v>
      </c>
      <c r="BR129" s="32">
        <f t="shared" si="120"/>
        <v>7190.4800000000032</v>
      </c>
      <c r="BS129" s="32" t="s">
        <v>399</v>
      </c>
      <c r="BT129" s="87" t="s">
        <v>399</v>
      </c>
      <c r="BU129" s="33"/>
      <c r="BV129" s="34">
        <f t="shared" si="121"/>
        <v>7190.4800000000032</v>
      </c>
      <c r="BW129" s="72">
        <v>61390.48</v>
      </c>
      <c r="BX129" s="77" t="s">
        <v>400</v>
      </c>
      <c r="BY129" s="82"/>
      <c r="BZ129" s="82"/>
      <c r="CC129" s="37"/>
      <c r="CD129" s="71">
        <v>64666.9</v>
      </c>
    </row>
    <row r="130" spans="1:82" s="77" customFormat="1" ht="18" customHeight="1" x14ac:dyDescent="0.25">
      <c r="A130" s="99" t="s">
        <v>58</v>
      </c>
      <c r="B130" s="100"/>
      <c r="C130" s="101"/>
      <c r="D130" s="93"/>
      <c r="E130" s="98"/>
      <c r="F130" s="121" t="s">
        <v>401</v>
      </c>
      <c r="G130" s="106">
        <v>-24800</v>
      </c>
      <c r="H130" s="106">
        <v>-105103</v>
      </c>
      <c r="I130" s="106">
        <v>0</v>
      </c>
      <c r="J130" s="70"/>
      <c r="K130" s="106">
        <v>-73286.5</v>
      </c>
      <c r="L130" s="106"/>
      <c r="M130" s="106"/>
      <c r="N130" s="106"/>
      <c r="O130" s="106"/>
      <c r="P130" s="106"/>
      <c r="Q130" s="106"/>
      <c r="R130" s="106"/>
      <c r="S130" s="106">
        <v>-63309.7</v>
      </c>
      <c r="T130" s="106">
        <f t="shared" si="230"/>
        <v>-63309.7</v>
      </c>
      <c r="U130" s="107">
        <f t="shared" si="231"/>
        <v>9976.8000000000029</v>
      </c>
      <c r="V130" s="106">
        <f t="shared" si="232"/>
        <v>-63309.7</v>
      </c>
      <c r="W130" s="108"/>
      <c r="X130" s="109">
        <v>-63309.7</v>
      </c>
      <c r="Y130" s="24">
        <f t="shared" si="233"/>
        <v>0</v>
      </c>
      <c r="Z130" s="85">
        <v>-54164</v>
      </c>
      <c r="AA130" s="29">
        <f>Z130-I130</f>
        <v>-54164</v>
      </c>
      <c r="AB130" s="29">
        <f>Z130-S130</f>
        <v>9145.6999999999971</v>
      </c>
      <c r="AC130" s="72"/>
      <c r="AD130" s="72"/>
      <c r="AE130" s="72"/>
      <c r="AF130" s="72"/>
      <c r="AG130" s="72"/>
      <c r="AH130" s="85">
        <v>-54164.29</v>
      </c>
      <c r="AI130" s="85">
        <v>-54164</v>
      </c>
      <c r="AJ130" s="85">
        <f>AH130-Z130</f>
        <v>-0.29000000000087311</v>
      </c>
      <c r="AK130" s="86">
        <v>-54164</v>
      </c>
      <c r="AL130" s="123">
        <f>Z130</f>
        <v>-54164</v>
      </c>
      <c r="AM130" s="27">
        <f t="shared" ref="AM130:AM193" si="240">AL130-AI130</f>
        <v>0</v>
      </c>
      <c r="AN130" s="61">
        <f t="shared" ref="AN130:AN193" si="241">AL130-Z130</f>
        <v>0</v>
      </c>
      <c r="AO130" s="62">
        <f t="shared" ref="AO130:AO193" si="242">AI130-Z130</f>
        <v>0</v>
      </c>
      <c r="AQ130" s="85"/>
      <c r="AR130" s="85"/>
      <c r="AS130" s="85"/>
      <c r="AT130" s="86">
        <v>-45000</v>
      </c>
      <c r="AU130" s="150">
        <v>-61390.48</v>
      </c>
      <c r="AV130" s="71">
        <f>CEILING(AT130,100)</f>
        <v>-45000</v>
      </c>
      <c r="AW130" s="71">
        <f>AV130-Z130</f>
        <v>9164</v>
      </c>
      <c r="AX130" s="76">
        <f>AT130-Z130</f>
        <v>9164</v>
      </c>
      <c r="AY130" s="76">
        <f>AT130-AL130</f>
        <v>9164</v>
      </c>
      <c r="BE130" s="71">
        <v>-45000</v>
      </c>
      <c r="BF130" s="71">
        <f>-BW131</f>
        <v>-52190.48</v>
      </c>
      <c r="BG130" s="78">
        <f>BE130-AV130</f>
        <v>0</v>
      </c>
      <c r="BH130" s="71">
        <f>BF130</f>
        <v>-52190.48</v>
      </c>
      <c r="BI130" s="33">
        <f>BF130-AV130</f>
        <v>-7190.4800000000032</v>
      </c>
      <c r="BJ130" s="33">
        <f>BF130-AU130</f>
        <v>9200</v>
      </c>
      <c r="BK130" s="71">
        <f>BH130</f>
        <v>-52190.48</v>
      </c>
      <c r="BL130" s="79">
        <f>BK130-BH130</f>
        <v>0</v>
      </c>
      <c r="BM130" s="79">
        <f>BK130-AV130</f>
        <v>-7190.4800000000032</v>
      </c>
      <c r="BN130" s="32"/>
      <c r="BO130" s="32"/>
      <c r="BP130" s="71">
        <v>-20184.22</v>
      </c>
      <c r="BQ130" s="32">
        <f t="shared" ref="BQ130:BQ193" si="243">BP130-BK130</f>
        <v>32006.260000000002</v>
      </c>
      <c r="BR130" s="32">
        <f t="shared" ref="BR130:BR193" si="244">BP130-AV130</f>
        <v>24815.78</v>
      </c>
      <c r="BS130" s="32"/>
      <c r="BT130" s="32"/>
      <c r="BU130" s="33"/>
      <c r="BV130" s="34">
        <f t="shared" ref="BV130:BV193" si="245">BH130-AV130</f>
        <v>-7190.4800000000032</v>
      </c>
      <c r="BW130" s="72">
        <v>9200</v>
      </c>
      <c r="BY130" s="82"/>
      <c r="BZ130" s="82"/>
      <c r="CC130" s="37"/>
      <c r="CD130" s="71">
        <v>-61390.48</v>
      </c>
    </row>
    <row r="131" spans="1:82" s="35" customFormat="1" ht="18" customHeight="1" x14ac:dyDescent="0.25">
      <c r="A131" s="38" t="s">
        <v>58</v>
      </c>
      <c r="B131" s="39"/>
      <c r="C131" s="119" t="s">
        <v>402</v>
      </c>
      <c r="D131" s="119"/>
      <c r="E131" s="122"/>
      <c r="F131" s="40"/>
      <c r="G131" s="20">
        <v>1827700</v>
      </c>
      <c r="H131" s="20">
        <v>1830700</v>
      </c>
      <c r="I131" s="20">
        <f t="shared" ref="I131:Q131" si="246">I132+I148+I158+I169+I179+I196+I206</f>
        <v>1786250</v>
      </c>
      <c r="J131" s="20">
        <f t="shared" si="246"/>
        <v>0</v>
      </c>
      <c r="K131" s="20">
        <f t="shared" si="246"/>
        <v>1767414.61</v>
      </c>
      <c r="L131" s="20">
        <f t="shared" si="246"/>
        <v>938960.72000000009</v>
      </c>
      <c r="M131" s="20">
        <f t="shared" si="246"/>
        <v>958244.67500000005</v>
      </c>
      <c r="N131" s="20">
        <f t="shared" si="246"/>
        <v>1926946.89</v>
      </c>
      <c r="O131" s="20">
        <f t="shared" si="246"/>
        <v>1975534.0858474248</v>
      </c>
      <c r="P131" s="20">
        <f t="shared" si="246"/>
        <v>140696.88999999993</v>
      </c>
      <c r="Q131" s="20">
        <f t="shared" si="246"/>
        <v>1322060.7200000002</v>
      </c>
      <c r="R131" s="20"/>
      <c r="S131" s="20">
        <f>S132+S148+S158+S169+S179+S196+S206</f>
        <v>1958407.0883360002</v>
      </c>
      <c r="T131" s="20">
        <f>T132+T148+T158+T169+T179+T196+T206</f>
        <v>172157.08833600002</v>
      </c>
      <c r="U131" s="20">
        <f>U132+U148+U158+U169+U179+U196+U206</f>
        <v>190992.47833600006</v>
      </c>
      <c r="V131" s="20">
        <f>V132+V148+V158+V169+V179+V196+V206</f>
        <v>-17126.997511424604</v>
      </c>
      <c r="W131" s="22"/>
      <c r="X131" s="23">
        <f>X132+X148+X158+X169+X179+X196+X206</f>
        <v>1889105.7557878788</v>
      </c>
      <c r="Y131" s="24">
        <f t="shared" si="233"/>
        <v>-69301.332548121456</v>
      </c>
      <c r="Z131" s="25">
        <f t="shared" ref="Z131:AL131" si="247">Z132+Z148+Z158+Z169+Z179+Z196+Z206</f>
        <v>1890492</v>
      </c>
      <c r="AA131" s="25">
        <f t="shared" si="247"/>
        <v>104242</v>
      </c>
      <c r="AB131" s="25">
        <f t="shared" si="247"/>
        <v>-67915.088336000044</v>
      </c>
      <c r="AC131" s="25">
        <f t="shared" si="247"/>
        <v>28984.839999999997</v>
      </c>
      <c r="AD131" s="25">
        <f t="shared" si="247"/>
        <v>882614.53109999991</v>
      </c>
      <c r="AE131" s="25">
        <f t="shared" si="247"/>
        <v>508274.60109999997</v>
      </c>
      <c r="AF131" s="25">
        <f t="shared" si="247"/>
        <v>392200</v>
      </c>
      <c r="AG131" s="25">
        <f t="shared" si="247"/>
        <v>5300</v>
      </c>
      <c r="AH131" s="25">
        <f t="shared" si="247"/>
        <v>1736905.2710197368</v>
      </c>
      <c r="AI131" s="25">
        <f t="shared" si="247"/>
        <v>1745682.5164285714</v>
      </c>
      <c r="AJ131" s="25">
        <f t="shared" si="247"/>
        <v>-153586.72898026317</v>
      </c>
      <c r="AK131" s="26">
        <f t="shared" si="247"/>
        <v>1745739.3351523809</v>
      </c>
      <c r="AL131" s="25">
        <f t="shared" si="247"/>
        <v>1711255.79382536</v>
      </c>
      <c r="AM131" s="27">
        <f t="shared" si="240"/>
        <v>-34426.722603211412</v>
      </c>
      <c r="AN131" s="28">
        <f t="shared" si="241"/>
        <v>-179236.20617463998</v>
      </c>
      <c r="AO131" s="50">
        <f t="shared" si="242"/>
        <v>-144809.48357142857</v>
      </c>
      <c r="AQ131" s="25"/>
      <c r="AR131" s="25"/>
      <c r="AS131" s="25"/>
      <c r="AT131" s="26" t="e">
        <f t="shared" ref="AT131:BP131" si="248">AT132+AT148+AT158+AT169+AT179+AT196+AT206</f>
        <v>#REF!</v>
      </c>
      <c r="AU131" s="25">
        <f t="shared" si="248"/>
        <v>1701520.89</v>
      </c>
      <c r="AV131" s="25">
        <f t="shared" si="248"/>
        <v>1669600</v>
      </c>
      <c r="AW131" s="25">
        <f t="shared" si="248"/>
        <v>-220892</v>
      </c>
      <c r="AX131" s="25" t="e">
        <f t="shared" si="248"/>
        <v>#REF!</v>
      </c>
      <c r="AY131" s="25" t="e">
        <f t="shared" si="248"/>
        <v>#REF!</v>
      </c>
      <c r="AZ131" s="25">
        <f t="shared" si="248"/>
        <v>0</v>
      </c>
      <c r="BA131" s="25">
        <f t="shared" si="248"/>
        <v>0</v>
      </c>
      <c r="BB131" s="25">
        <f t="shared" si="248"/>
        <v>0</v>
      </c>
      <c r="BC131" s="25">
        <f t="shared" si="248"/>
        <v>0</v>
      </c>
      <c r="BD131" s="25">
        <f t="shared" si="248"/>
        <v>0</v>
      </c>
      <c r="BE131" s="25">
        <f t="shared" si="248"/>
        <v>1681238.1600000001</v>
      </c>
      <c r="BF131" s="25">
        <f t="shared" si="248"/>
        <v>1882941.0285714287</v>
      </c>
      <c r="BG131" s="25">
        <f t="shared" si="248"/>
        <v>11638.160000000003</v>
      </c>
      <c r="BH131" s="25">
        <f t="shared" si="248"/>
        <v>1877918.8361904763</v>
      </c>
      <c r="BI131" s="25">
        <f t="shared" si="248"/>
        <v>213341.02857142859</v>
      </c>
      <c r="BJ131" s="25">
        <f t="shared" si="248"/>
        <v>181420.1385714286</v>
      </c>
      <c r="BK131" s="25">
        <f t="shared" si="248"/>
        <v>1841679.3687878789</v>
      </c>
      <c r="BL131" s="25">
        <f t="shared" si="248"/>
        <v>-36239.467402597438</v>
      </c>
      <c r="BM131" s="25">
        <f t="shared" si="248"/>
        <v>172079.36878787878</v>
      </c>
      <c r="BN131" s="25" t="e">
        <f t="shared" si="248"/>
        <v>#VALUE!</v>
      </c>
      <c r="BO131" s="25" t="e">
        <f t="shared" si="248"/>
        <v>#VALUE!</v>
      </c>
      <c r="BP131" s="25">
        <f t="shared" si="248"/>
        <v>1829419.73</v>
      </c>
      <c r="BQ131" s="31">
        <f t="shared" si="243"/>
        <v>-12259.63878787891</v>
      </c>
      <c r="BR131" s="31">
        <f t="shared" si="244"/>
        <v>159819.72999999998</v>
      </c>
      <c r="BS131" s="32"/>
      <c r="BT131" s="32"/>
      <c r="BU131" s="33"/>
      <c r="BV131" s="34">
        <f t="shared" si="245"/>
        <v>208318.83619047632</v>
      </c>
      <c r="BW131" s="29">
        <f>BW129-BW130</f>
        <v>52190.48</v>
      </c>
      <c r="BX131" s="35" t="s">
        <v>403</v>
      </c>
      <c r="BY131" s="36"/>
      <c r="BZ131" s="36"/>
      <c r="CC131" s="37"/>
      <c r="CD131" s="25">
        <f>CD132+CD148+CD158+CD169+CD179+CD196+CD206</f>
        <v>1701520.89</v>
      </c>
    </row>
    <row r="132" spans="1:82" s="35" customFormat="1" ht="18" customHeight="1" x14ac:dyDescent="0.25">
      <c r="A132" s="38" t="s">
        <v>58</v>
      </c>
      <c r="B132" s="39"/>
      <c r="C132" s="93"/>
      <c r="D132" s="93" t="s">
        <v>404</v>
      </c>
      <c r="E132" s="103"/>
      <c r="F132" s="104"/>
      <c r="G132" s="46">
        <v>572400</v>
      </c>
      <c r="H132" s="46">
        <v>565900</v>
      </c>
      <c r="I132" s="46">
        <f t="shared" ref="I132:Q132" si="249">I133+I146</f>
        <v>541900</v>
      </c>
      <c r="J132" s="46">
        <f t="shared" si="249"/>
        <v>0</v>
      </c>
      <c r="K132" s="46">
        <f t="shared" si="249"/>
        <v>506515.37</v>
      </c>
      <c r="L132" s="46">
        <f t="shared" si="249"/>
        <v>167418.94999999998</v>
      </c>
      <c r="M132" s="46">
        <f t="shared" si="249"/>
        <v>170368.94999999998</v>
      </c>
      <c r="N132" s="46">
        <f t="shared" si="249"/>
        <v>359394.98</v>
      </c>
      <c r="O132" s="46">
        <f t="shared" si="249"/>
        <v>494937</v>
      </c>
      <c r="P132" s="46">
        <f t="shared" si="249"/>
        <v>-182505.02000000002</v>
      </c>
      <c r="Q132" s="46">
        <f t="shared" si="249"/>
        <v>307535.62</v>
      </c>
      <c r="R132" s="46"/>
      <c r="S132" s="46">
        <f>S133+S146</f>
        <v>488131.89</v>
      </c>
      <c r="T132" s="46">
        <f>T133+T146</f>
        <v>-53768.109999999986</v>
      </c>
      <c r="U132" s="46">
        <f>U133+U146</f>
        <v>-18383.479999999974</v>
      </c>
      <c r="V132" s="46">
        <f>V133+V146</f>
        <v>-6805.109999999986</v>
      </c>
      <c r="W132" s="47"/>
      <c r="X132" s="23">
        <f>X133+X146</f>
        <v>482814.77</v>
      </c>
      <c r="Y132" s="24">
        <f t="shared" si="233"/>
        <v>-5317.1199999999953</v>
      </c>
      <c r="Z132" s="48">
        <f t="shared" ref="Z132:AL132" si="250">Z133+Z146</f>
        <v>423673</v>
      </c>
      <c r="AA132" s="48">
        <f t="shared" si="250"/>
        <v>-118227</v>
      </c>
      <c r="AB132" s="48">
        <f t="shared" si="250"/>
        <v>-64458.890000000014</v>
      </c>
      <c r="AC132" s="48">
        <f t="shared" si="250"/>
        <v>28984.839999999997</v>
      </c>
      <c r="AD132" s="48">
        <f t="shared" si="250"/>
        <v>143519.35</v>
      </c>
      <c r="AE132" s="48">
        <f t="shared" si="250"/>
        <v>286000</v>
      </c>
      <c r="AF132" s="48">
        <f t="shared" si="250"/>
        <v>0</v>
      </c>
      <c r="AG132" s="48">
        <f t="shared" si="250"/>
        <v>0</v>
      </c>
      <c r="AH132" s="48">
        <f t="shared" si="250"/>
        <v>381986.41101973684</v>
      </c>
      <c r="AI132" s="48">
        <f t="shared" si="250"/>
        <v>402646</v>
      </c>
      <c r="AJ132" s="48">
        <f t="shared" si="250"/>
        <v>-41686.588980263165</v>
      </c>
      <c r="AK132" s="49">
        <f t="shared" si="250"/>
        <v>402649</v>
      </c>
      <c r="AL132" s="48">
        <f t="shared" si="250"/>
        <v>399113.8</v>
      </c>
      <c r="AM132" s="27">
        <f t="shared" si="240"/>
        <v>-3532.2000000000116</v>
      </c>
      <c r="AN132" s="28">
        <f t="shared" si="241"/>
        <v>-24559.200000000012</v>
      </c>
      <c r="AO132" s="50">
        <f t="shared" si="242"/>
        <v>-21027</v>
      </c>
      <c r="AQ132" s="48"/>
      <c r="AR132" s="48"/>
      <c r="AS132" s="48"/>
      <c r="AT132" s="49">
        <f t="shared" ref="AT132:BP132" si="251">AT133+AT146</f>
        <v>303853.38</v>
      </c>
      <c r="AU132" s="48">
        <f t="shared" si="251"/>
        <v>372563.58999999997</v>
      </c>
      <c r="AV132" s="48">
        <f t="shared" si="251"/>
        <v>304100</v>
      </c>
      <c r="AW132" s="48">
        <f t="shared" si="251"/>
        <v>-119573</v>
      </c>
      <c r="AX132" s="48">
        <f t="shared" si="251"/>
        <v>-119819.62</v>
      </c>
      <c r="AY132" s="48">
        <f t="shared" si="251"/>
        <v>-95260.42</v>
      </c>
      <c r="AZ132" s="48">
        <f t="shared" si="251"/>
        <v>0</v>
      </c>
      <c r="BA132" s="48">
        <f t="shared" si="251"/>
        <v>0</v>
      </c>
      <c r="BB132" s="48">
        <f t="shared" si="251"/>
        <v>0</v>
      </c>
      <c r="BC132" s="48">
        <f t="shared" si="251"/>
        <v>0</v>
      </c>
      <c r="BD132" s="48">
        <f t="shared" si="251"/>
        <v>0</v>
      </c>
      <c r="BE132" s="48">
        <f t="shared" si="251"/>
        <v>373312</v>
      </c>
      <c r="BF132" s="48">
        <f t="shared" si="251"/>
        <v>444587.5</v>
      </c>
      <c r="BG132" s="48">
        <f t="shared" si="251"/>
        <v>69212</v>
      </c>
      <c r="BH132" s="48">
        <f t="shared" si="251"/>
        <v>444587.5</v>
      </c>
      <c r="BI132" s="48">
        <f t="shared" si="251"/>
        <v>140487.5</v>
      </c>
      <c r="BJ132" s="48">
        <f t="shared" si="251"/>
        <v>72023.910000000018</v>
      </c>
      <c r="BK132" s="48">
        <f t="shared" si="251"/>
        <v>386523.75</v>
      </c>
      <c r="BL132" s="48">
        <f t="shared" si="251"/>
        <v>-58063.750000000007</v>
      </c>
      <c r="BM132" s="48">
        <f t="shared" si="251"/>
        <v>82423.75</v>
      </c>
      <c r="BN132" s="48">
        <f t="shared" si="251"/>
        <v>0</v>
      </c>
      <c r="BO132" s="48">
        <f t="shared" si="251"/>
        <v>0</v>
      </c>
      <c r="BP132" s="48">
        <f t="shared" si="251"/>
        <v>399644.91000000003</v>
      </c>
      <c r="BQ132" s="31">
        <f t="shared" si="243"/>
        <v>13121.160000000033</v>
      </c>
      <c r="BR132" s="31">
        <f t="shared" si="244"/>
        <v>95544.910000000033</v>
      </c>
      <c r="BS132" s="32"/>
      <c r="BT132" s="32"/>
      <c r="BU132" s="33"/>
      <c r="BV132" s="34">
        <f t="shared" si="245"/>
        <v>140487.5</v>
      </c>
      <c r="BY132" s="36"/>
      <c r="BZ132" s="36"/>
      <c r="CC132" s="37"/>
      <c r="CD132" s="48">
        <f>CD133+CD146</f>
        <v>372563.58999999997</v>
      </c>
    </row>
    <row r="133" spans="1:82" s="63" customFormat="1" ht="18" customHeight="1" x14ac:dyDescent="0.25">
      <c r="A133" s="96" t="s">
        <v>58</v>
      </c>
      <c r="B133" s="97"/>
      <c r="C133" s="98"/>
      <c r="D133" s="103"/>
      <c r="E133" s="98" t="s">
        <v>405</v>
      </c>
      <c r="F133" s="105"/>
      <c r="G133" s="55">
        <v>572400</v>
      </c>
      <c r="H133" s="55">
        <v>565900</v>
      </c>
      <c r="I133" s="55">
        <f t="shared" ref="I133:Q133" si="252">SUM(I134:I145)</f>
        <v>541900</v>
      </c>
      <c r="J133" s="55">
        <f t="shared" si="252"/>
        <v>0</v>
      </c>
      <c r="K133" s="55">
        <f t="shared" si="252"/>
        <v>506515.37</v>
      </c>
      <c r="L133" s="55">
        <f t="shared" si="252"/>
        <v>167418.94999999998</v>
      </c>
      <c r="M133" s="55">
        <f t="shared" si="252"/>
        <v>170368.94999999998</v>
      </c>
      <c r="N133" s="55">
        <f t="shared" si="252"/>
        <v>359394.98</v>
      </c>
      <c r="O133" s="55">
        <f t="shared" si="252"/>
        <v>494937</v>
      </c>
      <c r="P133" s="55">
        <f t="shared" si="252"/>
        <v>-182505.02000000002</v>
      </c>
      <c r="Q133" s="55">
        <f t="shared" si="252"/>
        <v>307535.62</v>
      </c>
      <c r="R133" s="55"/>
      <c r="S133" s="55">
        <f>SUM(S134:S145)</f>
        <v>488131.89</v>
      </c>
      <c r="T133" s="55">
        <f>SUM(T134:T145)</f>
        <v>-53768.109999999986</v>
      </c>
      <c r="U133" s="55">
        <f>SUM(U134:U145)</f>
        <v>-18383.479999999974</v>
      </c>
      <c r="V133" s="55">
        <f>SUM(V134:V145)</f>
        <v>-6805.109999999986</v>
      </c>
      <c r="W133" s="57"/>
      <c r="X133" s="58">
        <f>SUM(X134:X145)</f>
        <v>482814.77</v>
      </c>
      <c r="Y133" s="59">
        <f t="shared" si="233"/>
        <v>-5317.1199999999953</v>
      </c>
      <c r="Z133" s="33">
        <f t="shared" ref="Z133:AL133" si="253">SUM(Z134:Z145)</f>
        <v>423673</v>
      </c>
      <c r="AA133" s="33">
        <f t="shared" si="253"/>
        <v>-118227</v>
      </c>
      <c r="AB133" s="33">
        <f t="shared" si="253"/>
        <v>-64458.890000000014</v>
      </c>
      <c r="AC133" s="33">
        <f t="shared" si="253"/>
        <v>28984.839999999997</v>
      </c>
      <c r="AD133" s="33">
        <f t="shared" si="253"/>
        <v>143519.35</v>
      </c>
      <c r="AE133" s="33">
        <f t="shared" si="253"/>
        <v>286000</v>
      </c>
      <c r="AF133" s="33">
        <f t="shared" si="253"/>
        <v>0</v>
      </c>
      <c r="AG133" s="33">
        <f t="shared" si="253"/>
        <v>0</v>
      </c>
      <c r="AH133" s="33">
        <f t="shared" si="253"/>
        <v>381986.41101973684</v>
      </c>
      <c r="AI133" s="33">
        <f t="shared" si="253"/>
        <v>402646</v>
      </c>
      <c r="AJ133" s="33">
        <f t="shared" si="253"/>
        <v>-41686.588980263165</v>
      </c>
      <c r="AK133" s="60">
        <f t="shared" si="253"/>
        <v>402649</v>
      </c>
      <c r="AL133" s="33">
        <f t="shared" si="253"/>
        <v>399113.8</v>
      </c>
      <c r="AM133" s="27">
        <f t="shared" si="240"/>
        <v>-3532.2000000000116</v>
      </c>
      <c r="AN133" s="61">
        <f t="shared" si="241"/>
        <v>-24559.200000000012</v>
      </c>
      <c r="AO133" s="62">
        <f t="shared" si="242"/>
        <v>-21027</v>
      </c>
      <c r="AQ133" s="33"/>
      <c r="AR133" s="33"/>
      <c r="AS133" s="33"/>
      <c r="AT133" s="60">
        <f t="shared" ref="AT133:BP133" si="254">SUM(AT134:AT145)</f>
        <v>303853.38</v>
      </c>
      <c r="AU133" s="33">
        <f t="shared" si="254"/>
        <v>372563.58999999997</v>
      </c>
      <c r="AV133" s="33">
        <f t="shared" si="254"/>
        <v>304100</v>
      </c>
      <c r="AW133" s="33">
        <f t="shared" si="254"/>
        <v>-119573</v>
      </c>
      <c r="AX133" s="33">
        <f t="shared" si="254"/>
        <v>-119819.62</v>
      </c>
      <c r="AY133" s="33">
        <f t="shared" si="254"/>
        <v>-95260.42</v>
      </c>
      <c r="AZ133" s="33">
        <f t="shared" si="254"/>
        <v>0</v>
      </c>
      <c r="BA133" s="33">
        <f t="shared" si="254"/>
        <v>0</v>
      </c>
      <c r="BB133" s="33">
        <f t="shared" si="254"/>
        <v>0</v>
      </c>
      <c r="BC133" s="33">
        <f t="shared" si="254"/>
        <v>0</v>
      </c>
      <c r="BD133" s="33">
        <f t="shared" si="254"/>
        <v>0</v>
      </c>
      <c r="BE133" s="33">
        <f t="shared" si="254"/>
        <v>373312</v>
      </c>
      <c r="BF133" s="33">
        <f t="shared" si="254"/>
        <v>444587.5</v>
      </c>
      <c r="BG133" s="33">
        <f t="shared" si="254"/>
        <v>69212</v>
      </c>
      <c r="BH133" s="33">
        <f t="shared" si="254"/>
        <v>444587.5</v>
      </c>
      <c r="BI133" s="33">
        <f t="shared" si="254"/>
        <v>140487.5</v>
      </c>
      <c r="BJ133" s="33">
        <f t="shared" si="254"/>
        <v>72023.910000000018</v>
      </c>
      <c r="BK133" s="33">
        <f t="shared" si="254"/>
        <v>386523.75</v>
      </c>
      <c r="BL133" s="33">
        <f t="shared" si="254"/>
        <v>-58063.750000000007</v>
      </c>
      <c r="BM133" s="33">
        <f t="shared" si="254"/>
        <v>82423.75</v>
      </c>
      <c r="BN133" s="33">
        <f t="shared" si="254"/>
        <v>0</v>
      </c>
      <c r="BO133" s="33">
        <f t="shared" si="254"/>
        <v>0</v>
      </c>
      <c r="BP133" s="33">
        <f t="shared" si="254"/>
        <v>399644.91000000003</v>
      </c>
      <c r="BQ133" s="31">
        <f t="shared" si="243"/>
        <v>13121.160000000033</v>
      </c>
      <c r="BR133" s="31">
        <f t="shared" si="244"/>
        <v>95544.910000000033</v>
      </c>
      <c r="BS133" s="32"/>
      <c r="BT133" s="32"/>
      <c r="BU133" s="33"/>
      <c r="BV133" s="34">
        <f t="shared" si="245"/>
        <v>140487.5</v>
      </c>
      <c r="BY133" s="64"/>
      <c r="BZ133" s="64"/>
      <c r="CC133" s="37"/>
      <c r="CD133" s="33">
        <f>SUM(CD134:CD145)</f>
        <v>372563.58999999997</v>
      </c>
    </row>
    <row r="134" spans="1:82" s="77" customFormat="1" ht="18" customHeight="1" x14ac:dyDescent="0.25">
      <c r="A134" s="99" t="s">
        <v>58</v>
      </c>
      <c r="B134" s="100"/>
      <c r="C134" s="101"/>
      <c r="D134" s="93"/>
      <c r="E134" s="98"/>
      <c r="F134" s="121" t="s">
        <v>406</v>
      </c>
      <c r="G134" s="106">
        <v>278700</v>
      </c>
      <c r="H134" s="106">
        <v>202800</v>
      </c>
      <c r="I134" s="106">
        <v>154700</v>
      </c>
      <c r="J134" s="70" t="s">
        <v>407</v>
      </c>
      <c r="K134" s="106">
        <v>206547</v>
      </c>
      <c r="L134" s="106">
        <v>78330</v>
      </c>
      <c r="M134" s="106">
        <f t="shared" ref="M134:M143" si="255">L134</f>
        <v>78330</v>
      </c>
      <c r="N134" s="106">
        <f>O134</f>
        <v>153745</v>
      </c>
      <c r="O134" s="106">
        <v>153745</v>
      </c>
      <c r="P134" s="106">
        <f t="shared" ref="P134:P145" si="256">N134-I134</f>
        <v>-955</v>
      </c>
      <c r="Q134" s="106">
        <v>120232</v>
      </c>
      <c r="R134" s="106"/>
      <c r="S134" s="106">
        <v>158900</v>
      </c>
      <c r="T134" s="106">
        <f t="shared" ref="T134:T147" si="257">S134-I134</f>
        <v>4200</v>
      </c>
      <c r="U134" s="107">
        <f t="shared" ref="U134:U147" si="258">S134-K134</f>
        <v>-47647</v>
      </c>
      <c r="V134" s="106">
        <f t="shared" ref="V134:V147" si="259">S134-O134</f>
        <v>5155</v>
      </c>
      <c r="W134" s="108"/>
      <c r="X134" s="109">
        <f>147609+13900</f>
        <v>161509</v>
      </c>
      <c r="Y134" s="24">
        <f t="shared" si="233"/>
        <v>2609</v>
      </c>
      <c r="Z134" s="85">
        <v>64000</v>
      </c>
      <c r="AA134" s="29">
        <f t="shared" ref="AA134:AA145" si="260">Z134-I134</f>
        <v>-90700</v>
      </c>
      <c r="AB134" s="29">
        <f t="shared" ref="AB134:AB145" si="261">Z134-S134</f>
        <v>-94900</v>
      </c>
      <c r="AC134" s="72" t="s">
        <v>408</v>
      </c>
      <c r="AD134" s="72">
        <f>Z134+79519.35</f>
        <v>143519.35</v>
      </c>
      <c r="AE134" s="72">
        <f>2*(20*50*52)</f>
        <v>104000</v>
      </c>
      <c r="AF134" s="72"/>
      <c r="AG134" s="72"/>
      <c r="AH134" s="133">
        <f>'[3]Servizio medico'!$C$9</f>
        <v>0</v>
      </c>
      <c r="AI134" s="85">
        <v>58385</v>
      </c>
      <c r="AJ134" s="133">
        <f t="shared" ref="AJ134:AJ145" si="262">AH134-Z134</f>
        <v>-64000</v>
      </c>
      <c r="AK134" s="86">
        <v>58385</v>
      </c>
      <c r="AL134" s="123">
        <v>57410</v>
      </c>
      <c r="AM134" s="27">
        <f t="shared" si="240"/>
        <v>-975</v>
      </c>
      <c r="AN134" s="61">
        <f t="shared" si="241"/>
        <v>-6590</v>
      </c>
      <c r="AO134" s="62">
        <f t="shared" si="242"/>
        <v>-5615</v>
      </c>
      <c r="AP134" s="72">
        <f>AJ134</f>
        <v>-64000</v>
      </c>
      <c r="AQ134" s="85" t="s">
        <v>409</v>
      </c>
      <c r="AR134" s="85" t="s">
        <v>409</v>
      </c>
      <c r="AS134" s="85" t="s">
        <v>409</v>
      </c>
      <c r="AT134" s="86">
        <f>(6+6+1+1)*10*50</f>
        <v>7000</v>
      </c>
      <c r="AU134" s="71">
        <v>57410</v>
      </c>
      <c r="AV134" s="71">
        <f>CEILING(AT134,100)</f>
        <v>7000</v>
      </c>
      <c r="AW134" s="71">
        <f t="shared" ref="AW134:AW147" si="263">AV134-Z134</f>
        <v>-57000</v>
      </c>
      <c r="AX134" s="76">
        <f t="shared" ref="AX134:AX147" si="264">AT134-Z134</f>
        <v>-57000</v>
      </c>
      <c r="AY134" s="76">
        <f t="shared" ref="AY134:AY147" si="265">AT134-AL134</f>
        <v>-50410</v>
      </c>
      <c r="BE134" s="71">
        <v>7000</v>
      </c>
      <c r="BF134" s="71">
        <v>7500</v>
      </c>
      <c r="BG134" s="78">
        <f t="shared" ref="BG134:BG147" si="266">BE134-AV134</f>
        <v>0</v>
      </c>
      <c r="BH134" s="71">
        <f>BF134</f>
        <v>7500</v>
      </c>
      <c r="BI134" s="33">
        <f t="shared" ref="BI134:BI147" si="267">BF134-AV134</f>
        <v>500</v>
      </c>
      <c r="BJ134" s="33">
        <f t="shared" ref="BJ134:BJ147" si="268">BF134-AU134</f>
        <v>-49910</v>
      </c>
      <c r="BK134" s="71">
        <v>6289</v>
      </c>
      <c r="BL134" s="79">
        <f t="shared" ref="BL134:BL147" si="269">BK134-BH134</f>
        <v>-1211</v>
      </c>
      <c r="BM134" s="79">
        <f t="shared" ref="BM134:BM147" si="270">BK134-AV134</f>
        <v>-711</v>
      </c>
      <c r="BN134" s="152"/>
      <c r="BO134" s="87"/>
      <c r="BP134" s="71">
        <v>6139</v>
      </c>
      <c r="BQ134" s="32">
        <f t="shared" si="243"/>
        <v>-150</v>
      </c>
      <c r="BR134" s="32">
        <f t="shared" si="244"/>
        <v>-861</v>
      </c>
      <c r="BS134" s="32"/>
      <c r="BT134" s="152"/>
      <c r="BU134" s="65"/>
      <c r="BV134" s="34">
        <f t="shared" si="245"/>
        <v>500</v>
      </c>
      <c r="BY134" s="82"/>
      <c r="BZ134" s="82"/>
      <c r="CC134" s="37"/>
      <c r="CD134" s="71">
        <v>57410</v>
      </c>
    </row>
    <row r="135" spans="1:82" s="77" customFormat="1" ht="18" customHeight="1" x14ac:dyDescent="0.25">
      <c r="A135" s="99" t="s">
        <v>58</v>
      </c>
      <c r="B135" s="100"/>
      <c r="C135" s="101"/>
      <c r="D135" s="93"/>
      <c r="E135" s="98"/>
      <c r="F135" s="121" t="s">
        <v>410</v>
      </c>
      <c r="G135" s="83">
        <v>101900</v>
      </c>
      <c r="H135" s="83">
        <v>104000</v>
      </c>
      <c r="I135" s="83">
        <v>51000</v>
      </c>
      <c r="J135" s="70" t="s">
        <v>411</v>
      </c>
      <c r="K135" s="83">
        <v>104561.72</v>
      </c>
      <c r="L135" s="83">
        <v>22261.96</v>
      </c>
      <c r="M135" s="83">
        <f t="shared" si="255"/>
        <v>22261.96</v>
      </c>
      <c r="N135" s="83">
        <f>O135</f>
        <v>61842</v>
      </c>
      <c r="O135" s="83">
        <v>61842</v>
      </c>
      <c r="P135" s="83">
        <f t="shared" si="256"/>
        <v>10842</v>
      </c>
      <c r="Q135" s="83">
        <v>28348.04</v>
      </c>
      <c r="R135" s="83"/>
      <c r="S135" s="83">
        <v>51950</v>
      </c>
      <c r="T135" s="83">
        <f t="shared" si="257"/>
        <v>950</v>
      </c>
      <c r="U135" s="83">
        <f t="shared" si="258"/>
        <v>-52611.72</v>
      </c>
      <c r="V135" s="83">
        <f t="shared" si="259"/>
        <v>-9892</v>
      </c>
      <c r="W135" s="84" t="s">
        <v>412</v>
      </c>
      <c r="X135" s="83">
        <f>41416.68+2725.84+2225.6+2471.04</f>
        <v>48839.16</v>
      </c>
      <c r="Y135" s="47">
        <f t="shared" si="233"/>
        <v>-3110.8399999999965</v>
      </c>
      <c r="Z135" s="85">
        <v>31296</v>
      </c>
      <c r="AA135" s="29">
        <f t="shared" si="260"/>
        <v>-19704</v>
      </c>
      <c r="AB135" s="29">
        <f t="shared" si="261"/>
        <v>-20654</v>
      </c>
      <c r="AC135" s="72">
        <f>Z135-X135</f>
        <v>-17543.160000000003</v>
      </c>
      <c r="AD135" s="72"/>
      <c r="AE135" s="72">
        <f>(5*50*52)*2</f>
        <v>26000</v>
      </c>
      <c r="AF135" s="72"/>
      <c r="AG135" s="72"/>
      <c r="AH135" s="85">
        <f>'[3]Servizio infermieristico'!$C$14</f>
        <v>53609.411019736835</v>
      </c>
      <c r="AI135" s="85">
        <v>62857</v>
      </c>
      <c r="AJ135" s="85">
        <f t="shared" si="262"/>
        <v>22313.411019736835</v>
      </c>
      <c r="AK135" s="86">
        <v>62860</v>
      </c>
      <c r="AL135" s="85">
        <v>60128</v>
      </c>
      <c r="AM135" s="74">
        <f t="shared" si="240"/>
        <v>-2729</v>
      </c>
      <c r="AN135" s="33">
        <f t="shared" si="241"/>
        <v>28832</v>
      </c>
      <c r="AO135" s="75">
        <f t="shared" si="242"/>
        <v>31561</v>
      </c>
      <c r="AP135" s="72">
        <f>AJ135</f>
        <v>22313.411019736835</v>
      </c>
      <c r="AQ135" s="85" t="s">
        <v>413</v>
      </c>
      <c r="AR135" s="85" t="s">
        <v>413</v>
      </c>
      <c r="AS135" s="85" t="s">
        <v>413</v>
      </c>
      <c r="AT135" s="86">
        <f>((1045*35)*104%)</f>
        <v>38038</v>
      </c>
      <c r="AU135" s="71">
        <v>59943.45</v>
      </c>
      <c r="AV135" s="71">
        <f>CEILING(AT135,100)</f>
        <v>38100</v>
      </c>
      <c r="AW135" s="71">
        <f t="shared" si="263"/>
        <v>6804</v>
      </c>
      <c r="AX135" s="76">
        <f t="shared" si="264"/>
        <v>6742</v>
      </c>
      <c r="AY135" s="76">
        <f t="shared" si="265"/>
        <v>-22090</v>
      </c>
      <c r="BE135" s="71">
        <f>38100+69212</f>
        <v>107312</v>
      </c>
      <c r="BF135" s="71">
        <v>170700</v>
      </c>
      <c r="BG135" s="78">
        <f t="shared" si="266"/>
        <v>69212</v>
      </c>
      <c r="BH135" s="71">
        <f>BF135</f>
        <v>170700</v>
      </c>
      <c r="BI135" s="33">
        <f t="shared" si="267"/>
        <v>132600</v>
      </c>
      <c r="BJ135" s="33">
        <f t="shared" si="268"/>
        <v>110756.55</v>
      </c>
      <c r="BK135" s="71">
        <v>141474.06</v>
      </c>
      <c r="BL135" s="79">
        <f t="shared" si="269"/>
        <v>-29225.940000000002</v>
      </c>
      <c r="BM135" s="79">
        <f t="shared" si="270"/>
        <v>103374.06</v>
      </c>
      <c r="BN135" s="87" t="s">
        <v>414</v>
      </c>
      <c r="BO135" s="87" t="s">
        <v>414</v>
      </c>
      <c r="BP135" s="71">
        <v>153847.26999999999</v>
      </c>
      <c r="BQ135" s="32">
        <f t="shared" si="243"/>
        <v>12373.209999999992</v>
      </c>
      <c r="BR135" s="32">
        <f t="shared" si="244"/>
        <v>115747.26999999999</v>
      </c>
      <c r="BS135" s="87" t="s">
        <v>414</v>
      </c>
      <c r="BT135" s="87" t="s">
        <v>414</v>
      </c>
      <c r="BU135" s="33" t="s">
        <v>415</v>
      </c>
      <c r="BV135" s="34">
        <f t="shared" si="245"/>
        <v>132600</v>
      </c>
      <c r="BY135" s="82"/>
      <c r="BZ135" s="82"/>
      <c r="CC135" s="37"/>
      <c r="CD135" s="71">
        <v>59943.45</v>
      </c>
    </row>
    <row r="136" spans="1:82" s="77" customFormat="1" ht="18" customHeight="1" x14ac:dyDescent="0.25">
      <c r="A136" s="99" t="s">
        <v>58</v>
      </c>
      <c r="B136" s="100"/>
      <c r="C136" s="101"/>
      <c r="D136" s="93"/>
      <c r="E136" s="98"/>
      <c r="F136" s="121" t="s">
        <v>416</v>
      </c>
      <c r="G136" s="83">
        <v>4500</v>
      </c>
      <c r="H136" s="83">
        <v>4400</v>
      </c>
      <c r="I136" s="83">
        <v>9000</v>
      </c>
      <c r="J136" s="70" t="s">
        <v>417</v>
      </c>
      <c r="K136" s="83">
        <v>2700</v>
      </c>
      <c r="L136" s="83">
        <v>3150</v>
      </c>
      <c r="M136" s="83">
        <f t="shared" si="255"/>
        <v>3150</v>
      </c>
      <c r="N136" s="83">
        <f>M136*2</f>
        <v>6300</v>
      </c>
      <c r="O136" s="83">
        <f>M136+(1100*6)</f>
        <v>9750</v>
      </c>
      <c r="P136" s="83">
        <f t="shared" si="256"/>
        <v>-2700</v>
      </c>
      <c r="Q136" s="83">
        <v>5835</v>
      </c>
      <c r="R136" s="83"/>
      <c r="S136" s="83">
        <f>I136</f>
        <v>9000</v>
      </c>
      <c r="T136" s="83">
        <f t="shared" si="257"/>
        <v>0</v>
      </c>
      <c r="U136" s="83">
        <f t="shared" si="258"/>
        <v>6300</v>
      </c>
      <c r="V136" s="83">
        <f t="shared" si="259"/>
        <v>-750</v>
      </c>
      <c r="W136" s="84"/>
      <c r="X136" s="83">
        <f>7917+900</f>
        <v>8817</v>
      </c>
      <c r="Y136" s="47">
        <f t="shared" si="233"/>
        <v>-183</v>
      </c>
      <c r="Z136" s="85">
        <v>8986</v>
      </c>
      <c r="AA136" s="29">
        <f t="shared" si="260"/>
        <v>-14</v>
      </c>
      <c r="AB136" s="29">
        <f t="shared" si="261"/>
        <v>-14</v>
      </c>
      <c r="AC136" s="72" t="s">
        <v>418</v>
      </c>
      <c r="AD136" s="72"/>
      <c r="AE136" s="72">
        <f>5*50*52</f>
        <v>13000</v>
      </c>
      <c r="AF136" s="72"/>
      <c r="AG136" s="72"/>
      <c r="AH136" s="85">
        <f t="shared" ref="AH136:AH145" si="271">Z136</f>
        <v>8986</v>
      </c>
      <c r="AI136" s="85">
        <v>11004</v>
      </c>
      <c r="AJ136" s="85">
        <f t="shared" si="262"/>
        <v>0</v>
      </c>
      <c r="AK136" s="86">
        <v>11004</v>
      </c>
      <c r="AL136" s="85">
        <v>11602.2</v>
      </c>
      <c r="AM136" s="74">
        <f t="shared" si="240"/>
        <v>598.20000000000073</v>
      </c>
      <c r="AN136" s="33">
        <f t="shared" si="241"/>
        <v>2616.2000000000007</v>
      </c>
      <c r="AO136" s="75">
        <f t="shared" si="242"/>
        <v>2018</v>
      </c>
      <c r="AQ136" s="85" t="s">
        <v>419</v>
      </c>
      <c r="AR136" s="85" t="s">
        <v>419</v>
      </c>
      <c r="AS136" s="85" t="s">
        <v>419</v>
      </c>
      <c r="AT136" s="86">
        <v>13478</v>
      </c>
      <c r="AU136" s="71">
        <v>11602.2</v>
      </c>
      <c r="AV136" s="71">
        <f>CEILING(AT136,100)</f>
        <v>13500</v>
      </c>
      <c r="AW136" s="71">
        <f t="shared" si="263"/>
        <v>4514</v>
      </c>
      <c r="AX136" s="76">
        <f t="shared" si="264"/>
        <v>4492</v>
      </c>
      <c r="AY136" s="76">
        <f t="shared" si="265"/>
        <v>1875.7999999999993</v>
      </c>
      <c r="BE136" s="71">
        <v>13500</v>
      </c>
      <c r="BF136" s="71">
        <v>12100</v>
      </c>
      <c r="BG136" s="78">
        <f t="shared" si="266"/>
        <v>0</v>
      </c>
      <c r="BH136" s="71">
        <f>BF136</f>
        <v>12100</v>
      </c>
      <c r="BI136" s="33">
        <f t="shared" si="267"/>
        <v>-1400</v>
      </c>
      <c r="BJ136" s="33">
        <f t="shared" si="268"/>
        <v>497.79999999999927</v>
      </c>
      <c r="BK136" s="71">
        <v>10498</v>
      </c>
      <c r="BL136" s="79">
        <f t="shared" si="269"/>
        <v>-1602</v>
      </c>
      <c r="BM136" s="79">
        <f t="shared" si="270"/>
        <v>-3002</v>
      </c>
      <c r="BN136" s="32"/>
      <c r="BO136" s="32"/>
      <c r="BP136" s="71">
        <v>10498</v>
      </c>
      <c r="BQ136" s="32">
        <f t="shared" si="243"/>
        <v>0</v>
      </c>
      <c r="BR136" s="32">
        <f t="shared" si="244"/>
        <v>-3002</v>
      </c>
      <c r="BS136" s="32"/>
      <c r="BT136" s="32"/>
      <c r="BU136" s="33"/>
      <c r="BV136" s="34">
        <f t="shared" si="245"/>
        <v>-1400</v>
      </c>
      <c r="BY136" s="82"/>
      <c r="BZ136" s="82"/>
      <c r="CC136" s="37"/>
      <c r="CD136" s="71">
        <v>11602.2</v>
      </c>
    </row>
    <row r="137" spans="1:82" s="77" customFormat="1" ht="18" hidden="1" customHeight="1" x14ac:dyDescent="0.25">
      <c r="A137" s="99" t="s">
        <v>58</v>
      </c>
      <c r="B137" s="100"/>
      <c r="C137" s="101"/>
      <c r="D137" s="93"/>
      <c r="E137" s="98"/>
      <c r="F137" s="121" t="s">
        <v>420</v>
      </c>
      <c r="G137" s="83">
        <v>100</v>
      </c>
      <c r="H137" s="83">
        <v>100</v>
      </c>
      <c r="I137" s="83">
        <v>0</v>
      </c>
      <c r="J137" s="70"/>
      <c r="K137" s="83">
        <v>0</v>
      </c>
      <c r="L137" s="83"/>
      <c r="M137" s="83">
        <f t="shared" si="255"/>
        <v>0</v>
      </c>
      <c r="N137" s="83"/>
      <c r="O137" s="83">
        <f>N137</f>
        <v>0</v>
      </c>
      <c r="P137" s="83">
        <f t="shared" si="256"/>
        <v>0</v>
      </c>
      <c r="Q137" s="83"/>
      <c r="R137" s="83"/>
      <c r="S137" s="83"/>
      <c r="T137" s="83">
        <f t="shared" si="257"/>
        <v>0</v>
      </c>
      <c r="U137" s="83">
        <f t="shared" si="258"/>
        <v>0</v>
      </c>
      <c r="V137" s="83">
        <f t="shared" si="259"/>
        <v>0</v>
      </c>
      <c r="W137" s="84"/>
      <c r="X137" s="83">
        <v>0</v>
      </c>
      <c r="Y137" s="47">
        <f t="shared" si="233"/>
        <v>0</v>
      </c>
      <c r="Z137" s="85">
        <f>S137</f>
        <v>0</v>
      </c>
      <c r="AA137" s="29">
        <f t="shared" si="260"/>
        <v>0</v>
      </c>
      <c r="AB137" s="29">
        <f t="shared" si="261"/>
        <v>0</v>
      </c>
      <c r="AC137" s="72"/>
      <c r="AD137" s="72"/>
      <c r="AE137" s="72">
        <f>SUM(AE134:AE136)</f>
        <v>143000</v>
      </c>
      <c r="AF137" s="72"/>
      <c r="AG137" s="72"/>
      <c r="AH137" s="85">
        <f t="shared" si="271"/>
        <v>0</v>
      </c>
      <c r="AI137" s="85"/>
      <c r="AJ137" s="85">
        <f t="shared" si="262"/>
        <v>0</v>
      </c>
      <c r="AK137" s="86"/>
      <c r="AL137" s="85"/>
      <c r="AM137" s="74">
        <f t="shared" si="240"/>
        <v>0</v>
      </c>
      <c r="AN137" s="33">
        <f t="shared" si="241"/>
        <v>0</v>
      </c>
      <c r="AO137" s="75">
        <f t="shared" si="242"/>
        <v>0</v>
      </c>
      <c r="AQ137" s="85"/>
      <c r="AR137" s="85"/>
      <c r="AS137" s="85"/>
      <c r="AT137" s="86"/>
      <c r="AU137" s="85"/>
      <c r="AV137" s="85"/>
      <c r="AW137" s="85">
        <f t="shared" si="263"/>
        <v>0</v>
      </c>
      <c r="AX137" s="76">
        <f t="shared" si="264"/>
        <v>0</v>
      </c>
      <c r="AY137" s="76">
        <f t="shared" si="265"/>
        <v>0</v>
      </c>
      <c r="BE137" s="85"/>
      <c r="BF137" s="85"/>
      <c r="BG137" s="78">
        <f t="shared" si="266"/>
        <v>0</v>
      </c>
      <c r="BH137" s="85"/>
      <c r="BI137" s="33">
        <f t="shared" si="267"/>
        <v>0</v>
      </c>
      <c r="BJ137" s="33">
        <f t="shared" si="268"/>
        <v>0</v>
      </c>
      <c r="BK137" s="85"/>
      <c r="BL137" s="79">
        <f t="shared" si="269"/>
        <v>0</v>
      </c>
      <c r="BM137" s="79">
        <f t="shared" si="270"/>
        <v>0</v>
      </c>
      <c r="BN137" s="32"/>
      <c r="BO137" s="32"/>
      <c r="BP137" s="85"/>
      <c r="BQ137" s="32">
        <f t="shared" si="243"/>
        <v>0</v>
      </c>
      <c r="BR137" s="32">
        <f t="shared" si="244"/>
        <v>0</v>
      </c>
      <c r="BS137" s="32"/>
      <c r="BT137" s="32"/>
      <c r="BU137" s="33"/>
      <c r="BV137" s="34">
        <f t="shared" si="245"/>
        <v>0</v>
      </c>
      <c r="BY137" s="82"/>
      <c r="BZ137" s="82"/>
      <c r="CC137" s="37"/>
      <c r="CD137" s="85"/>
    </row>
    <row r="138" spans="1:82" s="77" customFormat="1" ht="18" customHeight="1" x14ac:dyDescent="0.25">
      <c r="A138" s="99" t="s">
        <v>58</v>
      </c>
      <c r="B138" s="100"/>
      <c r="C138" s="101"/>
      <c r="D138" s="93"/>
      <c r="E138" s="98"/>
      <c r="F138" s="121" t="s">
        <v>421</v>
      </c>
      <c r="G138" s="83">
        <v>0</v>
      </c>
      <c r="H138" s="83">
        <v>0</v>
      </c>
      <c r="I138" s="83">
        <v>4800</v>
      </c>
      <c r="J138" s="70" t="s">
        <v>422</v>
      </c>
      <c r="K138" s="83">
        <v>0</v>
      </c>
      <c r="L138" s="83"/>
      <c r="M138" s="83">
        <f t="shared" si="255"/>
        <v>0</v>
      </c>
      <c r="N138" s="83">
        <v>4800</v>
      </c>
      <c r="O138" s="83">
        <f>N138</f>
        <v>4800</v>
      </c>
      <c r="P138" s="83">
        <f t="shared" si="256"/>
        <v>0</v>
      </c>
      <c r="Q138" s="83">
        <v>0</v>
      </c>
      <c r="R138" s="83"/>
      <c r="S138" s="83">
        <v>4800</v>
      </c>
      <c r="T138" s="83">
        <f t="shared" si="257"/>
        <v>0</v>
      </c>
      <c r="U138" s="83">
        <f t="shared" si="258"/>
        <v>4800</v>
      </c>
      <c r="V138" s="83">
        <f t="shared" si="259"/>
        <v>0</v>
      </c>
      <c r="W138" s="84"/>
      <c r="X138" s="83">
        <v>4800</v>
      </c>
      <c r="Y138" s="47">
        <f t="shared" si="233"/>
        <v>0</v>
      </c>
      <c r="Z138" s="85">
        <v>4800</v>
      </c>
      <c r="AA138" s="29">
        <f t="shared" si="260"/>
        <v>0</v>
      </c>
      <c r="AB138" s="29">
        <f t="shared" si="261"/>
        <v>0</v>
      </c>
      <c r="AC138" s="72"/>
      <c r="AD138" s="72"/>
      <c r="AE138" s="72"/>
      <c r="AF138" s="72"/>
      <c r="AG138" s="72"/>
      <c r="AH138" s="85">
        <f t="shared" si="271"/>
        <v>4800</v>
      </c>
      <c r="AI138" s="85">
        <f>Z138</f>
        <v>4800</v>
      </c>
      <c r="AJ138" s="85">
        <f t="shared" si="262"/>
        <v>0</v>
      </c>
      <c r="AK138" s="86">
        <v>4800</v>
      </c>
      <c r="AL138" s="85">
        <f>AI138</f>
        <v>4800</v>
      </c>
      <c r="AM138" s="74">
        <f t="shared" si="240"/>
        <v>0</v>
      </c>
      <c r="AN138" s="33">
        <f t="shared" si="241"/>
        <v>0</v>
      </c>
      <c r="AO138" s="75">
        <f t="shared" si="242"/>
        <v>0</v>
      </c>
      <c r="AQ138" s="85"/>
      <c r="AR138" s="85"/>
      <c r="AS138" s="85"/>
      <c r="AT138" s="86">
        <f>Z138</f>
        <v>4800</v>
      </c>
      <c r="AU138" s="71">
        <v>4800</v>
      </c>
      <c r="AV138" s="71">
        <f t="shared" ref="AV138:AV144" si="272">CEILING(AT138,100)</f>
        <v>4800</v>
      </c>
      <c r="AW138" s="71">
        <f t="shared" si="263"/>
        <v>0</v>
      </c>
      <c r="AX138" s="76">
        <f t="shared" si="264"/>
        <v>0</v>
      </c>
      <c r="AY138" s="76">
        <f t="shared" si="265"/>
        <v>0</v>
      </c>
      <c r="BE138" s="71">
        <v>4800</v>
      </c>
      <c r="BF138" s="71">
        <f>4800+100</f>
        <v>4900</v>
      </c>
      <c r="BG138" s="78">
        <f t="shared" si="266"/>
        <v>0</v>
      </c>
      <c r="BH138" s="71">
        <f t="shared" ref="BH138:BH144" si="273">BF138</f>
        <v>4900</v>
      </c>
      <c r="BI138" s="33">
        <f t="shared" si="267"/>
        <v>100</v>
      </c>
      <c r="BJ138" s="33">
        <f t="shared" si="268"/>
        <v>100</v>
      </c>
      <c r="BK138" s="71">
        <f>BH138</f>
        <v>4900</v>
      </c>
      <c r="BL138" s="79">
        <f t="shared" si="269"/>
        <v>0</v>
      </c>
      <c r="BM138" s="79">
        <f t="shared" si="270"/>
        <v>100</v>
      </c>
      <c r="BN138" s="87" t="s">
        <v>423</v>
      </c>
      <c r="BO138" s="87" t="s">
        <v>423</v>
      </c>
      <c r="BP138" s="71">
        <v>4900</v>
      </c>
      <c r="BQ138" s="32">
        <f t="shared" si="243"/>
        <v>0</v>
      </c>
      <c r="BR138" s="32">
        <f t="shared" si="244"/>
        <v>100</v>
      </c>
      <c r="BS138" s="87" t="s">
        <v>423</v>
      </c>
      <c r="BT138" s="87" t="s">
        <v>423</v>
      </c>
      <c r="BU138" s="33"/>
      <c r="BV138" s="34">
        <f t="shared" si="245"/>
        <v>100</v>
      </c>
      <c r="BY138" s="82"/>
      <c r="BZ138" s="82"/>
      <c r="CC138" s="37"/>
      <c r="CD138" s="71">
        <v>4800</v>
      </c>
    </row>
    <row r="139" spans="1:82" s="77" customFormat="1" ht="18" customHeight="1" x14ac:dyDescent="0.25">
      <c r="A139" s="99" t="s">
        <v>58</v>
      </c>
      <c r="B139" s="100"/>
      <c r="C139" s="101"/>
      <c r="D139" s="93"/>
      <c r="E139" s="98"/>
      <c r="F139" s="121" t="s">
        <v>424</v>
      </c>
      <c r="G139" s="83">
        <v>0</v>
      </c>
      <c r="H139" s="83">
        <v>0</v>
      </c>
      <c r="I139" s="83">
        <v>0</v>
      </c>
      <c r="J139" s="70"/>
      <c r="K139" s="83">
        <v>0</v>
      </c>
      <c r="L139" s="83"/>
      <c r="M139" s="83">
        <f t="shared" si="255"/>
        <v>0</v>
      </c>
      <c r="N139" s="83"/>
      <c r="O139" s="83">
        <f>N139</f>
        <v>0</v>
      </c>
      <c r="P139" s="83">
        <f t="shared" si="256"/>
        <v>0</v>
      </c>
      <c r="Q139" s="83"/>
      <c r="R139" s="83"/>
      <c r="S139" s="83"/>
      <c r="T139" s="83">
        <f t="shared" si="257"/>
        <v>0</v>
      </c>
      <c r="U139" s="83">
        <f t="shared" si="258"/>
        <v>0</v>
      </c>
      <c r="V139" s="83">
        <f t="shared" si="259"/>
        <v>0</v>
      </c>
      <c r="W139" s="84"/>
      <c r="X139" s="83"/>
      <c r="Y139" s="47">
        <f t="shared" si="233"/>
        <v>0</v>
      </c>
      <c r="Z139" s="85">
        <f>S139</f>
        <v>0</v>
      </c>
      <c r="AA139" s="29">
        <f t="shared" si="260"/>
        <v>0</v>
      </c>
      <c r="AB139" s="29">
        <f t="shared" si="261"/>
        <v>0</v>
      </c>
      <c r="AC139" s="72"/>
      <c r="AD139" s="72"/>
      <c r="AE139" s="72"/>
      <c r="AF139" s="72"/>
      <c r="AG139" s="72"/>
      <c r="AH139" s="85">
        <f t="shared" si="271"/>
        <v>0</v>
      </c>
      <c r="AI139" s="85"/>
      <c r="AJ139" s="85">
        <f t="shared" si="262"/>
        <v>0</v>
      </c>
      <c r="AK139" s="86">
        <v>0</v>
      </c>
      <c r="AL139" s="85">
        <v>0</v>
      </c>
      <c r="AM139" s="74">
        <f t="shared" si="240"/>
        <v>0</v>
      </c>
      <c r="AN139" s="33">
        <f t="shared" si="241"/>
        <v>0</v>
      </c>
      <c r="AO139" s="75">
        <f t="shared" si="242"/>
        <v>0</v>
      </c>
      <c r="AQ139" s="85"/>
      <c r="AR139" s="85"/>
      <c r="AS139" s="85"/>
      <c r="AT139" s="86">
        <f>2500*1.05</f>
        <v>2625</v>
      </c>
      <c r="AU139" s="71">
        <f>CEILING(BD139,100)</f>
        <v>0</v>
      </c>
      <c r="AV139" s="71">
        <f t="shared" si="272"/>
        <v>2700</v>
      </c>
      <c r="AW139" s="71">
        <f t="shared" si="263"/>
        <v>2700</v>
      </c>
      <c r="AX139" s="76">
        <f t="shared" si="264"/>
        <v>2625</v>
      </c>
      <c r="AY139" s="76">
        <f t="shared" si="265"/>
        <v>2625</v>
      </c>
      <c r="BE139" s="71">
        <v>2700</v>
      </c>
      <c r="BF139" s="71">
        <v>4987.5</v>
      </c>
      <c r="BG139" s="78">
        <f t="shared" si="266"/>
        <v>0</v>
      </c>
      <c r="BH139" s="71">
        <f t="shared" si="273"/>
        <v>4987.5</v>
      </c>
      <c r="BI139" s="33">
        <f t="shared" si="267"/>
        <v>2287.5</v>
      </c>
      <c r="BJ139" s="33">
        <f t="shared" si="268"/>
        <v>4987.5</v>
      </c>
      <c r="BK139" s="71">
        <v>4987.5</v>
      </c>
      <c r="BL139" s="79">
        <f t="shared" si="269"/>
        <v>0</v>
      </c>
      <c r="BM139" s="79">
        <f t="shared" si="270"/>
        <v>2287.5</v>
      </c>
      <c r="BN139" s="87" t="s">
        <v>425</v>
      </c>
      <c r="BO139" s="87" t="s">
        <v>426</v>
      </c>
      <c r="BP139" s="71">
        <v>4987.5</v>
      </c>
      <c r="BQ139" s="32">
        <f t="shared" si="243"/>
        <v>0</v>
      </c>
      <c r="BR139" s="32">
        <f t="shared" si="244"/>
        <v>2287.5</v>
      </c>
      <c r="BS139" s="32"/>
      <c r="BT139" s="87" t="s">
        <v>425</v>
      </c>
      <c r="BU139" s="33"/>
      <c r="BV139" s="34">
        <f t="shared" si="245"/>
        <v>2287.5</v>
      </c>
      <c r="BY139" s="82"/>
      <c r="BZ139" s="82"/>
      <c r="CC139" s="37"/>
      <c r="CD139" s="71">
        <v>0</v>
      </c>
    </row>
    <row r="140" spans="1:82" s="77" customFormat="1" ht="18" hidden="1" customHeight="1" x14ac:dyDescent="0.25">
      <c r="A140" s="99" t="s">
        <v>58</v>
      </c>
      <c r="B140" s="100"/>
      <c r="C140" s="101"/>
      <c r="D140" s="93"/>
      <c r="E140" s="98"/>
      <c r="F140" s="121" t="s">
        <v>427</v>
      </c>
      <c r="G140" s="83">
        <v>0</v>
      </c>
      <c r="H140" s="83">
        <v>0</v>
      </c>
      <c r="I140" s="83">
        <v>0</v>
      </c>
      <c r="J140" s="70"/>
      <c r="K140" s="83">
        <v>0</v>
      </c>
      <c r="L140" s="83"/>
      <c r="M140" s="83">
        <f t="shared" si="255"/>
        <v>0</v>
      </c>
      <c r="N140" s="83"/>
      <c r="O140" s="83">
        <f>N140</f>
        <v>0</v>
      </c>
      <c r="P140" s="83">
        <f t="shared" si="256"/>
        <v>0</v>
      </c>
      <c r="Q140" s="83"/>
      <c r="R140" s="83"/>
      <c r="S140" s="83"/>
      <c r="T140" s="83">
        <f t="shared" si="257"/>
        <v>0</v>
      </c>
      <c r="U140" s="83">
        <f t="shared" si="258"/>
        <v>0</v>
      </c>
      <c r="V140" s="83">
        <f t="shared" si="259"/>
        <v>0</v>
      </c>
      <c r="W140" s="84"/>
      <c r="X140" s="83"/>
      <c r="Y140" s="47">
        <f t="shared" si="233"/>
        <v>0</v>
      </c>
      <c r="Z140" s="85">
        <f>S140</f>
        <v>0</v>
      </c>
      <c r="AA140" s="29">
        <f t="shared" si="260"/>
        <v>0</v>
      </c>
      <c r="AB140" s="29">
        <f t="shared" si="261"/>
        <v>0</v>
      </c>
      <c r="AC140" s="72"/>
      <c r="AD140" s="72"/>
      <c r="AE140" s="72"/>
      <c r="AF140" s="72"/>
      <c r="AG140" s="72"/>
      <c r="AH140" s="85">
        <f t="shared" si="271"/>
        <v>0</v>
      </c>
      <c r="AI140" s="85"/>
      <c r="AJ140" s="85">
        <f t="shared" si="262"/>
        <v>0</v>
      </c>
      <c r="AK140" s="86"/>
      <c r="AL140" s="85"/>
      <c r="AM140" s="74">
        <f t="shared" si="240"/>
        <v>0</v>
      </c>
      <c r="AN140" s="33">
        <f t="shared" si="241"/>
        <v>0</v>
      </c>
      <c r="AO140" s="75">
        <f t="shared" si="242"/>
        <v>0</v>
      </c>
      <c r="AQ140" s="85"/>
      <c r="AR140" s="85"/>
      <c r="AS140" s="85"/>
      <c r="AT140" s="86"/>
      <c r="AU140" s="71">
        <f>CEILING(BD140,100)</f>
        <v>0</v>
      </c>
      <c r="AV140" s="71">
        <f t="shared" si="272"/>
        <v>0</v>
      </c>
      <c r="AW140" s="71">
        <f t="shared" si="263"/>
        <v>0</v>
      </c>
      <c r="AX140" s="76">
        <f t="shared" si="264"/>
        <v>0</v>
      </c>
      <c r="AY140" s="76">
        <f t="shared" si="265"/>
        <v>0</v>
      </c>
      <c r="BE140" s="71">
        <v>0</v>
      </c>
      <c r="BF140" s="71"/>
      <c r="BG140" s="78">
        <f t="shared" si="266"/>
        <v>0</v>
      </c>
      <c r="BH140" s="71">
        <f t="shared" si="273"/>
        <v>0</v>
      </c>
      <c r="BI140" s="33">
        <f t="shared" si="267"/>
        <v>0</v>
      </c>
      <c r="BJ140" s="33">
        <f t="shared" si="268"/>
        <v>0</v>
      </c>
      <c r="BK140" s="71"/>
      <c r="BL140" s="79">
        <f t="shared" si="269"/>
        <v>0</v>
      </c>
      <c r="BM140" s="79">
        <f t="shared" si="270"/>
        <v>0</v>
      </c>
      <c r="BN140" s="32"/>
      <c r="BO140" s="32"/>
      <c r="BP140" s="71"/>
      <c r="BQ140" s="32">
        <f t="shared" si="243"/>
        <v>0</v>
      </c>
      <c r="BR140" s="32">
        <f t="shared" si="244"/>
        <v>0</v>
      </c>
      <c r="BS140" s="32"/>
      <c r="BT140" s="32"/>
      <c r="BU140" s="33"/>
      <c r="BV140" s="34">
        <f t="shared" si="245"/>
        <v>0</v>
      </c>
      <c r="BY140" s="82"/>
      <c r="BZ140" s="82"/>
      <c r="CC140" s="37"/>
      <c r="CD140" s="71"/>
    </row>
    <row r="141" spans="1:82" s="77" customFormat="1" ht="18" customHeight="1" x14ac:dyDescent="0.25">
      <c r="A141" s="99" t="s">
        <v>58</v>
      </c>
      <c r="B141" s="100"/>
      <c r="C141" s="101"/>
      <c r="D141" s="93"/>
      <c r="E141" s="98"/>
      <c r="F141" s="121" t="s">
        <v>428</v>
      </c>
      <c r="G141" s="83">
        <v>13300</v>
      </c>
      <c r="H141" s="83">
        <v>11100</v>
      </c>
      <c r="I141" s="83">
        <v>21000</v>
      </c>
      <c r="J141" s="70" t="s">
        <v>429</v>
      </c>
      <c r="K141" s="83">
        <v>10373.4</v>
      </c>
      <c r="L141" s="83">
        <v>6770.25</v>
      </c>
      <c r="M141" s="83">
        <f t="shared" si="255"/>
        <v>6770.25</v>
      </c>
      <c r="N141" s="83">
        <f>M141*2</f>
        <v>13540.5</v>
      </c>
      <c r="O141" s="83">
        <v>13540</v>
      </c>
      <c r="P141" s="83">
        <f t="shared" si="256"/>
        <v>-7459.5</v>
      </c>
      <c r="Q141" s="83">
        <v>9753.75</v>
      </c>
      <c r="R141" s="83"/>
      <c r="S141" s="83">
        <v>14200</v>
      </c>
      <c r="T141" s="83">
        <f t="shared" si="257"/>
        <v>-6800</v>
      </c>
      <c r="U141" s="83">
        <f t="shared" si="258"/>
        <v>3826.6000000000004</v>
      </c>
      <c r="V141" s="83">
        <f t="shared" si="259"/>
        <v>660</v>
      </c>
      <c r="W141" s="84"/>
      <c r="X141" s="83">
        <f>12599.55+1377</f>
        <v>13976.55</v>
      </c>
      <c r="Y141" s="47">
        <f t="shared" si="233"/>
        <v>-223.45000000000073</v>
      </c>
      <c r="Z141" s="85">
        <v>28080</v>
      </c>
      <c r="AA141" s="29">
        <f t="shared" si="260"/>
        <v>7080</v>
      </c>
      <c r="AB141" s="29">
        <f t="shared" si="261"/>
        <v>13880</v>
      </c>
      <c r="AC141" s="72" t="s">
        <v>430</v>
      </c>
      <c r="AD141" s="72"/>
      <c r="AE141" s="72"/>
      <c r="AF141" s="72"/>
      <c r="AG141" s="72"/>
      <c r="AH141" s="85">
        <f t="shared" si="271"/>
        <v>28080</v>
      </c>
      <c r="AI141" s="85">
        <f>Z141</f>
        <v>28080</v>
      </c>
      <c r="AJ141" s="85">
        <f t="shared" si="262"/>
        <v>0</v>
      </c>
      <c r="AK141" s="86">
        <v>28080</v>
      </c>
      <c r="AL141" s="85">
        <v>28391</v>
      </c>
      <c r="AM141" s="74">
        <f t="shared" si="240"/>
        <v>311</v>
      </c>
      <c r="AN141" s="33">
        <f t="shared" si="241"/>
        <v>311</v>
      </c>
      <c r="AO141" s="75">
        <f t="shared" si="242"/>
        <v>0</v>
      </c>
      <c r="AQ141" s="85"/>
      <c r="AR141" s="85" t="s">
        <v>271</v>
      </c>
      <c r="AS141" s="85"/>
      <c r="AT141" s="86">
        <v>27600</v>
      </c>
      <c r="AU141" s="71">
        <v>28492.9</v>
      </c>
      <c r="AV141" s="71">
        <f t="shared" si="272"/>
        <v>27600</v>
      </c>
      <c r="AW141" s="71">
        <f t="shared" si="263"/>
        <v>-480</v>
      </c>
      <c r="AX141" s="76">
        <f t="shared" si="264"/>
        <v>-480</v>
      </c>
      <c r="AY141" s="76">
        <f t="shared" si="265"/>
        <v>-791</v>
      </c>
      <c r="BE141" s="71">
        <v>27600</v>
      </c>
      <c r="BF141" s="71">
        <f>AV141</f>
        <v>27600</v>
      </c>
      <c r="BG141" s="78">
        <f t="shared" si="266"/>
        <v>0</v>
      </c>
      <c r="BH141" s="71">
        <f t="shared" si="273"/>
        <v>27600</v>
      </c>
      <c r="BI141" s="33">
        <f t="shared" si="267"/>
        <v>0</v>
      </c>
      <c r="BJ141" s="33">
        <f t="shared" si="268"/>
        <v>-892.90000000000146</v>
      </c>
      <c r="BK141" s="71">
        <v>28825.67</v>
      </c>
      <c r="BL141" s="79">
        <f t="shared" si="269"/>
        <v>1225.6699999999983</v>
      </c>
      <c r="BM141" s="79">
        <f t="shared" si="270"/>
        <v>1225.6699999999983</v>
      </c>
      <c r="BN141" s="32"/>
      <c r="BO141" s="32"/>
      <c r="BP141" s="71">
        <v>28825.67</v>
      </c>
      <c r="BQ141" s="32">
        <f t="shared" si="243"/>
        <v>0</v>
      </c>
      <c r="BR141" s="32">
        <f t="shared" si="244"/>
        <v>1225.6699999999983</v>
      </c>
      <c r="BS141" s="32"/>
      <c r="BT141" s="32"/>
      <c r="BU141" s="33"/>
      <c r="BV141" s="34">
        <f t="shared" si="245"/>
        <v>0</v>
      </c>
      <c r="BY141" s="82"/>
      <c r="BZ141" s="82"/>
      <c r="CC141" s="37"/>
      <c r="CD141" s="71">
        <v>28492.9</v>
      </c>
    </row>
    <row r="142" spans="1:82" s="77" customFormat="1" ht="18" customHeight="1" x14ac:dyDescent="0.25">
      <c r="A142" s="99" t="s">
        <v>58</v>
      </c>
      <c r="B142" s="100"/>
      <c r="C142" s="101"/>
      <c r="D142" s="93"/>
      <c r="E142" s="98"/>
      <c r="F142" s="121" t="s">
        <v>431</v>
      </c>
      <c r="G142" s="83">
        <v>168900</v>
      </c>
      <c r="H142" s="83">
        <v>217200</v>
      </c>
      <c r="I142" s="83">
        <v>295500</v>
      </c>
      <c r="J142" s="70" t="s">
        <v>432</v>
      </c>
      <c r="K142" s="83">
        <v>157196.9</v>
      </c>
      <c r="L142" s="83">
        <v>56906.74</v>
      </c>
      <c r="M142" s="83">
        <f t="shared" si="255"/>
        <v>56906.74</v>
      </c>
      <c r="N142" s="83">
        <f>M142*2</f>
        <v>113813.48</v>
      </c>
      <c r="O142" s="83">
        <v>245906</v>
      </c>
      <c r="P142" s="83">
        <f t="shared" si="256"/>
        <v>-181686.52000000002</v>
      </c>
      <c r="Q142" s="83">
        <v>142224.91</v>
      </c>
      <c r="R142" s="83"/>
      <c r="S142" s="83">
        <v>246581.89</v>
      </c>
      <c r="T142" s="83">
        <f t="shared" si="257"/>
        <v>-48918.109999999986</v>
      </c>
      <c r="U142" s="83">
        <f t="shared" si="258"/>
        <v>89384.99000000002</v>
      </c>
      <c r="V142" s="83">
        <f t="shared" si="259"/>
        <v>675.89000000001397</v>
      </c>
      <c r="W142" s="84"/>
      <c r="X142" s="83">
        <v>243001.06</v>
      </c>
      <c r="Y142" s="47">
        <f t="shared" si="233"/>
        <v>-3580.8300000000163</v>
      </c>
      <c r="Z142" s="85">
        <v>280670</v>
      </c>
      <c r="AA142" s="29">
        <f t="shared" si="260"/>
        <v>-14830</v>
      </c>
      <c r="AB142" s="29">
        <f t="shared" si="261"/>
        <v>34088.109999999986</v>
      </c>
      <c r="AC142" s="72">
        <f>Z142-Z58</f>
        <v>46528</v>
      </c>
      <c r="AD142" s="72"/>
      <c r="AE142" s="72"/>
      <c r="AF142" s="72"/>
      <c r="AG142" s="72"/>
      <c r="AH142" s="85">
        <f t="shared" si="271"/>
        <v>280670</v>
      </c>
      <c r="AI142" s="85">
        <v>234270</v>
      </c>
      <c r="AJ142" s="85">
        <f t="shared" si="262"/>
        <v>0</v>
      </c>
      <c r="AK142" s="86">
        <v>234270</v>
      </c>
      <c r="AL142" s="85">
        <v>234270</v>
      </c>
      <c r="AM142" s="74">
        <f t="shared" si="240"/>
        <v>0</v>
      </c>
      <c r="AN142" s="33">
        <f t="shared" si="241"/>
        <v>-46400</v>
      </c>
      <c r="AO142" s="75">
        <f t="shared" si="242"/>
        <v>-46400</v>
      </c>
      <c r="AQ142" s="85" t="s">
        <v>433</v>
      </c>
      <c r="AR142" s="85" t="s">
        <v>433</v>
      </c>
      <c r="AS142" s="85" t="s">
        <v>433</v>
      </c>
      <c r="AT142" s="86">
        <v>204412.38</v>
      </c>
      <c r="AU142" s="71">
        <v>207742.68</v>
      </c>
      <c r="AV142" s="71">
        <f t="shared" si="272"/>
        <v>204500</v>
      </c>
      <c r="AW142" s="71">
        <f t="shared" si="263"/>
        <v>-76170</v>
      </c>
      <c r="AX142" s="76">
        <f t="shared" si="264"/>
        <v>-76257.62</v>
      </c>
      <c r="AY142" s="76">
        <f t="shared" si="265"/>
        <v>-29857.619999999995</v>
      </c>
      <c r="BE142" s="71">
        <v>204500</v>
      </c>
      <c r="BF142" s="71">
        <v>212600</v>
      </c>
      <c r="BG142" s="78">
        <f t="shared" si="266"/>
        <v>0</v>
      </c>
      <c r="BH142" s="71">
        <f t="shared" si="273"/>
        <v>212600</v>
      </c>
      <c r="BI142" s="33">
        <f t="shared" si="267"/>
        <v>8100</v>
      </c>
      <c r="BJ142" s="33">
        <f t="shared" si="268"/>
        <v>4857.320000000007</v>
      </c>
      <c r="BK142" s="71">
        <v>187300</v>
      </c>
      <c r="BL142" s="79">
        <f t="shared" si="269"/>
        <v>-25300</v>
      </c>
      <c r="BM142" s="79">
        <f t="shared" si="270"/>
        <v>-17200</v>
      </c>
      <c r="BN142" s="32"/>
      <c r="BO142" s="32"/>
      <c r="BP142" s="71">
        <v>188084.59</v>
      </c>
      <c r="BQ142" s="32">
        <f t="shared" si="243"/>
        <v>784.58999999999651</v>
      </c>
      <c r="BR142" s="32">
        <f t="shared" si="244"/>
        <v>-16415.410000000003</v>
      </c>
      <c r="BS142" s="32"/>
      <c r="BT142" s="32"/>
      <c r="BU142" s="33"/>
      <c r="BV142" s="34">
        <f t="shared" si="245"/>
        <v>8100</v>
      </c>
      <c r="BW142" s="77" t="s">
        <v>434</v>
      </c>
      <c r="BX142" s="72">
        <f>AV142-AV58</f>
        <v>32600</v>
      </c>
      <c r="BY142" s="82"/>
      <c r="BZ142" s="82"/>
      <c r="CC142" s="37"/>
      <c r="CD142" s="71">
        <v>207742.68</v>
      </c>
    </row>
    <row r="143" spans="1:82" s="77" customFormat="1" ht="18" hidden="1" customHeight="1" x14ac:dyDescent="0.25">
      <c r="A143" s="99"/>
      <c r="B143" s="100"/>
      <c r="C143" s="101"/>
      <c r="D143" s="93"/>
      <c r="E143" s="98"/>
      <c r="F143" s="121" t="s">
        <v>435</v>
      </c>
      <c r="G143" s="83">
        <v>0</v>
      </c>
      <c r="H143" s="83">
        <v>0</v>
      </c>
      <c r="I143" s="83">
        <v>0</v>
      </c>
      <c r="J143" s="70"/>
      <c r="K143" s="83">
        <v>0</v>
      </c>
      <c r="L143" s="83"/>
      <c r="M143" s="83">
        <f t="shared" si="255"/>
        <v>0</v>
      </c>
      <c r="N143" s="83"/>
      <c r="O143" s="83"/>
      <c r="P143" s="83">
        <f t="shared" si="256"/>
        <v>0</v>
      </c>
      <c r="Q143" s="83"/>
      <c r="R143" s="83"/>
      <c r="S143" s="83"/>
      <c r="T143" s="83">
        <f t="shared" si="257"/>
        <v>0</v>
      </c>
      <c r="U143" s="83">
        <f t="shared" si="258"/>
        <v>0</v>
      </c>
      <c r="V143" s="83">
        <f t="shared" si="259"/>
        <v>0</v>
      </c>
      <c r="W143" s="84"/>
      <c r="X143" s="83"/>
      <c r="Y143" s="47">
        <f t="shared" si="233"/>
        <v>0</v>
      </c>
      <c r="Z143" s="85">
        <f>S143</f>
        <v>0</v>
      </c>
      <c r="AA143" s="29">
        <f t="shared" si="260"/>
        <v>0</v>
      </c>
      <c r="AB143" s="29">
        <f t="shared" si="261"/>
        <v>0</v>
      </c>
      <c r="AC143" s="72"/>
      <c r="AD143" s="72"/>
      <c r="AE143" s="72"/>
      <c r="AF143" s="72"/>
      <c r="AG143" s="72"/>
      <c r="AH143" s="85">
        <f t="shared" si="271"/>
        <v>0</v>
      </c>
      <c r="AI143" s="85"/>
      <c r="AJ143" s="85">
        <f t="shared" si="262"/>
        <v>0</v>
      </c>
      <c r="AK143" s="86"/>
      <c r="AL143" s="85"/>
      <c r="AM143" s="74">
        <f t="shared" si="240"/>
        <v>0</v>
      </c>
      <c r="AN143" s="33">
        <f t="shared" si="241"/>
        <v>0</v>
      </c>
      <c r="AO143" s="75">
        <f t="shared" si="242"/>
        <v>0</v>
      </c>
      <c r="AQ143" s="85"/>
      <c r="AR143" s="85"/>
      <c r="AS143" s="85"/>
      <c r="AT143" s="86"/>
      <c r="AU143" s="71">
        <f>CEILING(BD143,100)</f>
        <v>0</v>
      </c>
      <c r="AV143" s="71">
        <f t="shared" si="272"/>
        <v>0</v>
      </c>
      <c r="AW143" s="71">
        <f t="shared" si="263"/>
        <v>0</v>
      </c>
      <c r="AX143" s="76">
        <f t="shared" si="264"/>
        <v>0</v>
      </c>
      <c r="AY143" s="76">
        <f t="shared" si="265"/>
        <v>0</v>
      </c>
      <c r="BE143" s="71">
        <v>0</v>
      </c>
      <c r="BF143" s="71"/>
      <c r="BG143" s="78">
        <f t="shared" si="266"/>
        <v>0</v>
      </c>
      <c r="BH143" s="71">
        <f t="shared" si="273"/>
        <v>0</v>
      </c>
      <c r="BI143" s="33">
        <f t="shared" si="267"/>
        <v>0</v>
      </c>
      <c r="BJ143" s="33">
        <f t="shared" si="268"/>
        <v>0</v>
      </c>
      <c r="BK143" s="71"/>
      <c r="BL143" s="79">
        <f t="shared" si="269"/>
        <v>0</v>
      </c>
      <c r="BM143" s="79">
        <f t="shared" si="270"/>
        <v>0</v>
      </c>
      <c r="BN143" s="32"/>
      <c r="BO143" s="32"/>
      <c r="BP143" s="71"/>
      <c r="BQ143" s="32">
        <f t="shared" si="243"/>
        <v>0</v>
      </c>
      <c r="BR143" s="32">
        <f t="shared" si="244"/>
        <v>0</v>
      </c>
      <c r="BS143" s="32"/>
      <c r="BT143" s="32"/>
      <c r="BU143" s="33"/>
      <c r="BV143" s="34">
        <f t="shared" si="245"/>
        <v>0</v>
      </c>
      <c r="BY143" s="82"/>
      <c r="BZ143" s="82"/>
      <c r="CC143" s="37"/>
      <c r="CD143" s="71"/>
    </row>
    <row r="144" spans="1:82" s="77" customFormat="1" ht="18" customHeight="1" x14ac:dyDescent="0.25">
      <c r="A144" s="99"/>
      <c r="B144" s="100"/>
      <c r="C144" s="101"/>
      <c r="D144" s="93"/>
      <c r="E144" s="98"/>
      <c r="F144" s="121" t="s">
        <v>436</v>
      </c>
      <c r="G144" s="83">
        <v>3000</v>
      </c>
      <c r="H144" s="83">
        <v>1800</v>
      </c>
      <c r="I144" s="83">
        <v>5900</v>
      </c>
      <c r="J144" s="70"/>
      <c r="K144" s="83">
        <v>662.48</v>
      </c>
      <c r="L144" s="83"/>
      <c r="M144" s="83">
        <f>I144/2</f>
        <v>2950</v>
      </c>
      <c r="N144" s="83">
        <f>O144</f>
        <v>5354</v>
      </c>
      <c r="O144" s="83">
        <v>5354</v>
      </c>
      <c r="P144" s="83">
        <f t="shared" si="256"/>
        <v>-546</v>
      </c>
      <c r="Q144" s="83">
        <v>1141.92</v>
      </c>
      <c r="R144" s="83"/>
      <c r="S144" s="83">
        <v>2700</v>
      </c>
      <c r="T144" s="83">
        <f t="shared" si="257"/>
        <v>-3200</v>
      </c>
      <c r="U144" s="83">
        <f t="shared" si="258"/>
        <v>2037.52</v>
      </c>
      <c r="V144" s="83">
        <f t="shared" si="259"/>
        <v>-2654</v>
      </c>
      <c r="W144" s="84"/>
      <c r="X144" s="83">
        <f>1141.92+243.36+486.72</f>
        <v>1872.0000000000002</v>
      </c>
      <c r="Y144" s="47">
        <f t="shared" si="233"/>
        <v>-827.99999999999977</v>
      </c>
      <c r="Z144" s="85">
        <v>5841</v>
      </c>
      <c r="AA144" s="29">
        <f t="shared" si="260"/>
        <v>-59</v>
      </c>
      <c r="AB144" s="29">
        <f t="shared" si="261"/>
        <v>3141</v>
      </c>
      <c r="AC144" s="72"/>
      <c r="AD144" s="72"/>
      <c r="AE144" s="72"/>
      <c r="AF144" s="72"/>
      <c r="AG144" s="72"/>
      <c r="AH144" s="85">
        <f t="shared" si="271"/>
        <v>5841</v>
      </c>
      <c r="AI144" s="85">
        <v>3250</v>
      </c>
      <c r="AJ144" s="85">
        <f t="shared" si="262"/>
        <v>0</v>
      </c>
      <c r="AK144" s="86">
        <v>3250</v>
      </c>
      <c r="AL144" s="85">
        <v>2512.6</v>
      </c>
      <c r="AM144" s="74">
        <f t="shared" si="240"/>
        <v>-737.40000000000009</v>
      </c>
      <c r="AN144" s="33">
        <f t="shared" si="241"/>
        <v>-3328.4</v>
      </c>
      <c r="AO144" s="75">
        <f t="shared" si="242"/>
        <v>-2591</v>
      </c>
      <c r="AQ144" s="85" t="s">
        <v>437</v>
      </c>
      <c r="AR144" s="85" t="s">
        <v>437</v>
      </c>
      <c r="AS144" s="85" t="s">
        <v>437</v>
      </c>
      <c r="AT144" s="86">
        <v>5900</v>
      </c>
      <c r="AU144" s="71">
        <v>2572.36</v>
      </c>
      <c r="AV144" s="71">
        <f t="shared" si="272"/>
        <v>5900</v>
      </c>
      <c r="AW144" s="71">
        <f t="shared" si="263"/>
        <v>59</v>
      </c>
      <c r="AX144" s="76">
        <f t="shared" si="264"/>
        <v>59</v>
      </c>
      <c r="AY144" s="76">
        <f t="shared" si="265"/>
        <v>3387.4</v>
      </c>
      <c r="BE144" s="71">
        <v>5900</v>
      </c>
      <c r="BF144" s="71">
        <v>4200</v>
      </c>
      <c r="BG144" s="78">
        <f t="shared" si="266"/>
        <v>0</v>
      </c>
      <c r="BH144" s="71">
        <f t="shared" si="273"/>
        <v>4200</v>
      </c>
      <c r="BI144" s="33">
        <f t="shared" si="267"/>
        <v>-1700</v>
      </c>
      <c r="BJ144" s="33">
        <f t="shared" si="268"/>
        <v>1627.6399999999999</v>
      </c>
      <c r="BK144" s="71">
        <v>2249.52</v>
      </c>
      <c r="BL144" s="79">
        <f t="shared" si="269"/>
        <v>-1950.48</v>
      </c>
      <c r="BM144" s="79">
        <f t="shared" si="270"/>
        <v>-3650.48</v>
      </c>
      <c r="BN144" s="32"/>
      <c r="BO144" s="32"/>
      <c r="BP144" s="71">
        <v>2362.88</v>
      </c>
      <c r="BQ144" s="32">
        <f t="shared" si="243"/>
        <v>113.36000000000013</v>
      </c>
      <c r="BR144" s="32">
        <f t="shared" si="244"/>
        <v>-3537.12</v>
      </c>
      <c r="BS144" s="32"/>
      <c r="BT144" s="32"/>
      <c r="BU144" s="33"/>
      <c r="BV144" s="34">
        <f t="shared" si="245"/>
        <v>-1700</v>
      </c>
      <c r="BW144" s="77" t="s">
        <v>438</v>
      </c>
      <c r="BX144" s="72">
        <f>BF142-BF58</f>
        <v>35700</v>
      </c>
      <c r="BY144" s="82"/>
      <c r="BZ144" s="82"/>
      <c r="CC144" s="37"/>
      <c r="CD144" s="71">
        <v>2572.36</v>
      </c>
    </row>
    <row r="145" spans="1:82" s="77" customFormat="1" ht="18" hidden="1" customHeight="1" x14ac:dyDescent="0.25">
      <c r="A145" s="99"/>
      <c r="B145" s="100"/>
      <c r="C145" s="101"/>
      <c r="D145" s="93"/>
      <c r="E145" s="98"/>
      <c r="F145" s="121" t="s">
        <v>439</v>
      </c>
      <c r="G145" s="83">
        <v>2000</v>
      </c>
      <c r="H145" s="83">
        <v>24500</v>
      </c>
      <c r="I145" s="83">
        <v>0</v>
      </c>
      <c r="J145" s="70"/>
      <c r="K145" s="83">
        <v>24473.87</v>
      </c>
      <c r="L145" s="83"/>
      <c r="M145" s="83">
        <f>L145</f>
        <v>0</v>
      </c>
      <c r="N145" s="83"/>
      <c r="O145" s="83"/>
      <c r="P145" s="83">
        <f t="shared" si="256"/>
        <v>0</v>
      </c>
      <c r="Q145" s="83"/>
      <c r="R145" s="83"/>
      <c r="S145" s="83"/>
      <c r="T145" s="83">
        <f t="shared" si="257"/>
        <v>0</v>
      </c>
      <c r="U145" s="83">
        <f t="shared" si="258"/>
        <v>-24473.87</v>
      </c>
      <c r="V145" s="83">
        <f t="shared" si="259"/>
        <v>0</v>
      </c>
      <c r="W145" s="84"/>
      <c r="X145" s="83"/>
      <c r="Y145" s="47">
        <f t="shared" si="233"/>
        <v>0</v>
      </c>
      <c r="Z145" s="85">
        <f>S145</f>
        <v>0</v>
      </c>
      <c r="AA145" s="29">
        <f t="shared" si="260"/>
        <v>0</v>
      </c>
      <c r="AB145" s="29">
        <f t="shared" si="261"/>
        <v>0</v>
      </c>
      <c r="AC145" s="72"/>
      <c r="AD145" s="72"/>
      <c r="AE145" s="72"/>
      <c r="AF145" s="72"/>
      <c r="AG145" s="72"/>
      <c r="AH145" s="85">
        <f t="shared" si="271"/>
        <v>0</v>
      </c>
      <c r="AI145" s="85"/>
      <c r="AJ145" s="85">
        <f t="shared" si="262"/>
        <v>0</v>
      </c>
      <c r="AK145" s="86"/>
      <c r="AL145" s="85"/>
      <c r="AM145" s="74">
        <f t="shared" si="240"/>
        <v>0</v>
      </c>
      <c r="AN145" s="33">
        <f t="shared" si="241"/>
        <v>0</v>
      </c>
      <c r="AO145" s="75">
        <f t="shared" si="242"/>
        <v>0</v>
      </c>
      <c r="AQ145" s="85"/>
      <c r="AR145" s="85"/>
      <c r="AS145" s="85"/>
      <c r="AT145" s="86"/>
      <c r="AU145" s="85"/>
      <c r="AV145" s="85"/>
      <c r="AW145" s="85">
        <f t="shared" si="263"/>
        <v>0</v>
      </c>
      <c r="AX145" s="76">
        <f t="shared" si="264"/>
        <v>0</v>
      </c>
      <c r="AY145" s="76">
        <f t="shared" si="265"/>
        <v>0</v>
      </c>
      <c r="BE145" s="85"/>
      <c r="BF145" s="85"/>
      <c r="BG145" s="78">
        <f t="shared" si="266"/>
        <v>0</v>
      </c>
      <c r="BH145" s="85"/>
      <c r="BI145" s="33">
        <f t="shared" si="267"/>
        <v>0</v>
      </c>
      <c r="BJ145" s="33">
        <f t="shared" si="268"/>
        <v>0</v>
      </c>
      <c r="BK145" s="85"/>
      <c r="BL145" s="79">
        <f t="shared" si="269"/>
        <v>0</v>
      </c>
      <c r="BM145" s="79">
        <f t="shared" si="270"/>
        <v>0</v>
      </c>
      <c r="BN145" s="32"/>
      <c r="BO145" s="32"/>
      <c r="BP145" s="85"/>
      <c r="BQ145" s="32">
        <f t="shared" si="243"/>
        <v>0</v>
      </c>
      <c r="BR145" s="32">
        <f t="shared" si="244"/>
        <v>0</v>
      </c>
      <c r="BS145" s="32"/>
      <c r="BT145" s="32"/>
      <c r="BU145" s="33"/>
      <c r="BV145" s="34">
        <f t="shared" si="245"/>
        <v>0</v>
      </c>
      <c r="BY145" s="82"/>
      <c r="BZ145" s="82"/>
      <c r="CC145" s="37"/>
      <c r="CD145" s="85"/>
    </row>
    <row r="146" spans="1:82" s="77" customFormat="1" ht="18" hidden="1" customHeight="1" x14ac:dyDescent="0.25">
      <c r="A146" s="99" t="s">
        <v>58</v>
      </c>
      <c r="B146" s="100"/>
      <c r="C146" s="101"/>
      <c r="D146" s="93"/>
      <c r="E146" s="98" t="s">
        <v>440</v>
      </c>
      <c r="F146" s="105"/>
      <c r="G146" s="55">
        <v>0</v>
      </c>
      <c r="H146" s="55">
        <v>0</v>
      </c>
      <c r="I146" s="55">
        <f t="shared" ref="I146:Q146" si="274">I147</f>
        <v>0</v>
      </c>
      <c r="J146" s="55">
        <f t="shared" si="274"/>
        <v>0</v>
      </c>
      <c r="K146" s="55">
        <f t="shared" si="274"/>
        <v>0</v>
      </c>
      <c r="L146" s="55">
        <f t="shared" si="274"/>
        <v>0</v>
      </c>
      <c r="M146" s="55">
        <f t="shared" si="274"/>
        <v>0</v>
      </c>
      <c r="N146" s="55">
        <f t="shared" si="274"/>
        <v>0</v>
      </c>
      <c r="O146" s="55">
        <f t="shared" si="274"/>
        <v>0</v>
      </c>
      <c r="P146" s="55">
        <f t="shared" si="274"/>
        <v>0</v>
      </c>
      <c r="Q146" s="55">
        <f t="shared" si="274"/>
        <v>0</v>
      </c>
      <c r="R146" s="55"/>
      <c r="S146" s="55">
        <f>S147</f>
        <v>0</v>
      </c>
      <c r="T146" s="55">
        <f t="shared" si="257"/>
        <v>0</v>
      </c>
      <c r="U146" s="55">
        <f t="shared" si="258"/>
        <v>0</v>
      </c>
      <c r="V146" s="55">
        <f t="shared" si="259"/>
        <v>0</v>
      </c>
      <c r="W146" s="57"/>
      <c r="X146" s="55">
        <f>X147</f>
        <v>0</v>
      </c>
      <c r="Y146" s="47">
        <f t="shared" si="233"/>
        <v>0</v>
      </c>
      <c r="Z146" s="33">
        <f t="shared" ref="Z146:AJ146" si="275">Z147</f>
        <v>0</v>
      </c>
      <c r="AA146" s="33">
        <f t="shared" si="275"/>
        <v>0</v>
      </c>
      <c r="AB146" s="33">
        <f t="shared" si="275"/>
        <v>0</v>
      </c>
      <c r="AC146" s="33">
        <f t="shared" si="275"/>
        <v>0</v>
      </c>
      <c r="AD146" s="33">
        <f t="shared" si="275"/>
        <v>0</v>
      </c>
      <c r="AE146" s="33">
        <f t="shared" si="275"/>
        <v>0</v>
      </c>
      <c r="AF146" s="33">
        <f t="shared" si="275"/>
        <v>0</v>
      </c>
      <c r="AG146" s="33">
        <f t="shared" si="275"/>
        <v>0</v>
      </c>
      <c r="AH146" s="33">
        <f t="shared" si="275"/>
        <v>0</v>
      </c>
      <c r="AI146" s="33">
        <f t="shared" si="275"/>
        <v>0</v>
      </c>
      <c r="AJ146" s="33">
        <f t="shared" si="275"/>
        <v>0</v>
      </c>
      <c r="AK146" s="60"/>
      <c r="AL146" s="33"/>
      <c r="AM146" s="74">
        <f t="shared" si="240"/>
        <v>0</v>
      </c>
      <c r="AN146" s="33">
        <f t="shared" si="241"/>
        <v>0</v>
      </c>
      <c r="AO146" s="75">
        <f t="shared" si="242"/>
        <v>0</v>
      </c>
      <c r="AQ146" s="33"/>
      <c r="AR146" s="33"/>
      <c r="AS146" s="33"/>
      <c r="AT146" s="60"/>
      <c r="AU146" s="33"/>
      <c r="AV146" s="33"/>
      <c r="AW146" s="33">
        <f t="shared" si="263"/>
        <v>0</v>
      </c>
      <c r="AX146" s="76">
        <f t="shared" si="264"/>
        <v>0</v>
      </c>
      <c r="AY146" s="76">
        <f t="shared" si="265"/>
        <v>0</v>
      </c>
      <c r="BE146" s="33"/>
      <c r="BF146" s="33"/>
      <c r="BG146" s="78">
        <f t="shared" si="266"/>
        <v>0</v>
      </c>
      <c r="BH146" s="33"/>
      <c r="BI146" s="33">
        <f t="shared" si="267"/>
        <v>0</v>
      </c>
      <c r="BJ146" s="33">
        <f t="shared" si="268"/>
        <v>0</v>
      </c>
      <c r="BK146" s="33"/>
      <c r="BL146" s="79">
        <f t="shared" si="269"/>
        <v>0</v>
      </c>
      <c r="BM146" s="79">
        <f t="shared" si="270"/>
        <v>0</v>
      </c>
      <c r="BN146" s="32"/>
      <c r="BO146" s="32"/>
      <c r="BP146" s="33"/>
      <c r="BQ146" s="32">
        <f t="shared" si="243"/>
        <v>0</v>
      </c>
      <c r="BR146" s="32">
        <f t="shared" si="244"/>
        <v>0</v>
      </c>
      <c r="BS146" s="32"/>
      <c r="BT146" s="32"/>
      <c r="BU146" s="33"/>
      <c r="BV146" s="34">
        <f t="shared" si="245"/>
        <v>0</v>
      </c>
      <c r="BY146" s="82"/>
      <c r="BZ146" s="82"/>
      <c r="CC146" s="37"/>
      <c r="CD146" s="33"/>
    </row>
    <row r="147" spans="1:82" s="77" customFormat="1" ht="18" hidden="1" customHeight="1" x14ac:dyDescent="0.25">
      <c r="A147" s="99" t="s">
        <v>58</v>
      </c>
      <c r="B147" s="100"/>
      <c r="C147" s="101"/>
      <c r="D147" s="93"/>
      <c r="E147" s="98"/>
      <c r="F147" s="121" t="s">
        <v>441</v>
      </c>
      <c r="G147" s="83">
        <v>0</v>
      </c>
      <c r="H147" s="83">
        <v>0</v>
      </c>
      <c r="I147" s="83">
        <v>0</v>
      </c>
      <c r="J147" s="70"/>
      <c r="K147" s="83">
        <v>0</v>
      </c>
      <c r="L147" s="83"/>
      <c r="M147" s="83"/>
      <c r="N147" s="83"/>
      <c r="O147" s="83"/>
      <c r="P147" s="83">
        <f>N147-I147</f>
        <v>0</v>
      </c>
      <c r="Q147" s="83"/>
      <c r="R147" s="83"/>
      <c r="S147" s="83"/>
      <c r="T147" s="83">
        <f t="shared" si="257"/>
        <v>0</v>
      </c>
      <c r="U147" s="83">
        <f t="shared" si="258"/>
        <v>0</v>
      </c>
      <c r="V147" s="83">
        <f t="shared" si="259"/>
        <v>0</v>
      </c>
      <c r="W147" s="84"/>
      <c r="X147" s="83"/>
      <c r="Y147" s="47">
        <f t="shared" si="233"/>
        <v>0</v>
      </c>
      <c r="Z147" s="85"/>
      <c r="AA147" s="29">
        <f>Z147-I147</f>
        <v>0</v>
      </c>
      <c r="AB147" s="29">
        <f>Z147-S147</f>
        <v>0</v>
      </c>
      <c r="AC147" s="72"/>
      <c r="AD147" s="72"/>
      <c r="AE147" s="72"/>
      <c r="AF147" s="72"/>
      <c r="AG147" s="72"/>
      <c r="AH147" s="85"/>
      <c r="AI147" s="85"/>
      <c r="AJ147" s="85">
        <f>AH147-Z147</f>
        <v>0</v>
      </c>
      <c r="AK147" s="86"/>
      <c r="AL147" s="85"/>
      <c r="AM147" s="74">
        <f t="shared" si="240"/>
        <v>0</v>
      </c>
      <c r="AN147" s="33">
        <f t="shared" si="241"/>
        <v>0</v>
      </c>
      <c r="AO147" s="75">
        <f t="shared" si="242"/>
        <v>0</v>
      </c>
      <c r="AQ147" s="85"/>
      <c r="AR147" s="85"/>
      <c r="AS147" s="85"/>
      <c r="AT147" s="86"/>
      <c r="AU147" s="85"/>
      <c r="AV147" s="85"/>
      <c r="AW147" s="85">
        <f t="shared" si="263"/>
        <v>0</v>
      </c>
      <c r="AX147" s="76">
        <f t="shared" si="264"/>
        <v>0</v>
      </c>
      <c r="AY147" s="76">
        <f t="shared" si="265"/>
        <v>0</v>
      </c>
      <c r="BE147" s="85"/>
      <c r="BF147" s="85"/>
      <c r="BG147" s="78">
        <f t="shared" si="266"/>
        <v>0</v>
      </c>
      <c r="BH147" s="85"/>
      <c r="BI147" s="33">
        <f t="shared" si="267"/>
        <v>0</v>
      </c>
      <c r="BJ147" s="33">
        <f t="shared" si="268"/>
        <v>0</v>
      </c>
      <c r="BK147" s="85"/>
      <c r="BL147" s="79">
        <f t="shared" si="269"/>
        <v>0</v>
      </c>
      <c r="BM147" s="79">
        <f t="shared" si="270"/>
        <v>0</v>
      </c>
      <c r="BN147" s="32"/>
      <c r="BO147" s="32"/>
      <c r="BP147" s="85"/>
      <c r="BQ147" s="32">
        <f t="shared" si="243"/>
        <v>0</v>
      </c>
      <c r="BR147" s="32">
        <f t="shared" si="244"/>
        <v>0</v>
      </c>
      <c r="BS147" s="32"/>
      <c r="BT147" s="32"/>
      <c r="BU147" s="33"/>
      <c r="BV147" s="34">
        <f t="shared" si="245"/>
        <v>0</v>
      </c>
      <c r="BY147" s="82"/>
      <c r="BZ147" s="82"/>
      <c r="CC147" s="37"/>
      <c r="CD147" s="85"/>
    </row>
    <row r="148" spans="1:82" s="35" customFormat="1" ht="18" customHeight="1" x14ac:dyDescent="0.25">
      <c r="A148" s="38" t="s">
        <v>58</v>
      </c>
      <c r="B148" s="39"/>
      <c r="C148" s="93"/>
      <c r="D148" s="93" t="s">
        <v>442</v>
      </c>
      <c r="E148" s="103"/>
      <c r="F148" s="104"/>
      <c r="G148" s="46">
        <v>445000</v>
      </c>
      <c r="H148" s="46">
        <v>447800</v>
      </c>
      <c r="I148" s="46">
        <f t="shared" ref="I148:Q148" si="276">I149</f>
        <v>445400</v>
      </c>
      <c r="J148" s="46">
        <f t="shared" si="276"/>
        <v>0</v>
      </c>
      <c r="K148" s="46">
        <f t="shared" si="276"/>
        <v>447395.52</v>
      </c>
      <c r="L148" s="46">
        <f t="shared" si="276"/>
        <v>228407.08000000002</v>
      </c>
      <c r="M148" s="46">
        <f t="shared" si="276"/>
        <v>228407.08000000002</v>
      </c>
      <c r="N148" s="46">
        <f t="shared" si="276"/>
        <v>456814.16000000003</v>
      </c>
      <c r="O148" s="46">
        <f t="shared" si="276"/>
        <v>456814.16000000003</v>
      </c>
      <c r="P148" s="46">
        <f t="shared" si="276"/>
        <v>11414.160000000007</v>
      </c>
      <c r="Q148" s="46">
        <f t="shared" si="276"/>
        <v>335057.93000000005</v>
      </c>
      <c r="R148" s="46"/>
      <c r="S148" s="46">
        <f>S149</f>
        <v>446124.62333600008</v>
      </c>
      <c r="T148" s="46">
        <f>T149</f>
        <v>724.62333600003331</v>
      </c>
      <c r="U148" s="46">
        <f>U149</f>
        <v>-1270.8966639999817</v>
      </c>
      <c r="V148" s="46">
        <f>V149</f>
        <v>-10689.536663999974</v>
      </c>
      <c r="W148" s="47"/>
      <c r="X148" s="46">
        <f>X149</f>
        <v>442892.82363636361</v>
      </c>
      <c r="Y148" s="47">
        <f t="shared" si="233"/>
        <v>-3231.7996996364673</v>
      </c>
      <c r="Z148" s="48">
        <f t="shared" ref="Z148:AL148" si="277">Z149</f>
        <v>465853</v>
      </c>
      <c r="AA148" s="48">
        <f t="shared" si="277"/>
        <v>20453</v>
      </c>
      <c r="AB148" s="48">
        <f t="shared" si="277"/>
        <v>19728.376663999967</v>
      </c>
      <c r="AC148" s="48">
        <f t="shared" si="277"/>
        <v>0</v>
      </c>
      <c r="AD148" s="48">
        <f t="shared" si="277"/>
        <v>448844.60109999997</v>
      </c>
      <c r="AE148" s="48">
        <f t="shared" si="277"/>
        <v>17374.601099999971</v>
      </c>
      <c r="AF148" s="48">
        <f t="shared" si="277"/>
        <v>0</v>
      </c>
      <c r="AG148" s="48">
        <f t="shared" si="277"/>
        <v>0</v>
      </c>
      <c r="AH148" s="48">
        <f t="shared" si="277"/>
        <v>465852.86</v>
      </c>
      <c r="AI148" s="48">
        <f t="shared" si="277"/>
        <v>465632.72499999998</v>
      </c>
      <c r="AJ148" s="48">
        <f t="shared" si="277"/>
        <v>-0.13999999999941792</v>
      </c>
      <c r="AK148" s="49">
        <f t="shared" si="277"/>
        <v>467437.13420000003</v>
      </c>
      <c r="AL148" s="48">
        <f t="shared" si="277"/>
        <v>462046.66090909089</v>
      </c>
      <c r="AM148" s="74">
        <f t="shared" si="240"/>
        <v>-3586.0640909090871</v>
      </c>
      <c r="AN148" s="94">
        <f t="shared" si="241"/>
        <v>-3806.3390909091104</v>
      </c>
      <c r="AO148" s="95">
        <f t="shared" si="242"/>
        <v>-220.27500000002328</v>
      </c>
      <c r="AQ148" s="48"/>
      <c r="AR148" s="48"/>
      <c r="AS148" s="48"/>
      <c r="AT148" s="49">
        <f t="shared" ref="AT148:BP148" si="278">AT149</f>
        <v>486315.84284</v>
      </c>
      <c r="AU148" s="48">
        <f t="shared" si="278"/>
        <v>462172.11</v>
      </c>
      <c r="AV148" s="48">
        <f t="shared" si="278"/>
        <v>486500</v>
      </c>
      <c r="AW148" s="48">
        <f t="shared" si="278"/>
        <v>20647</v>
      </c>
      <c r="AX148" s="48">
        <f t="shared" si="278"/>
        <v>20462.842839999983</v>
      </c>
      <c r="AY148" s="48">
        <f t="shared" si="278"/>
        <v>24269.18193090909</v>
      </c>
      <c r="AZ148" s="48">
        <f t="shared" si="278"/>
        <v>0</v>
      </c>
      <c r="BA148" s="48">
        <f t="shared" si="278"/>
        <v>0</v>
      </c>
      <c r="BB148" s="48">
        <f t="shared" si="278"/>
        <v>0</v>
      </c>
      <c r="BC148" s="48">
        <f t="shared" si="278"/>
        <v>0</v>
      </c>
      <c r="BD148" s="48">
        <f t="shared" si="278"/>
        <v>0</v>
      </c>
      <c r="BE148" s="48">
        <f t="shared" si="278"/>
        <v>496500</v>
      </c>
      <c r="BF148" s="48">
        <f t="shared" si="278"/>
        <v>495694.45999999996</v>
      </c>
      <c r="BG148" s="48">
        <f t="shared" si="278"/>
        <v>10000</v>
      </c>
      <c r="BH148" s="48">
        <f t="shared" si="278"/>
        <v>489652.81999999995</v>
      </c>
      <c r="BI148" s="48">
        <f t="shared" si="278"/>
        <v>9194.4600000000155</v>
      </c>
      <c r="BJ148" s="48">
        <f t="shared" si="278"/>
        <v>33522.350000000028</v>
      </c>
      <c r="BK148" s="48">
        <f t="shared" si="278"/>
        <v>490214.39</v>
      </c>
      <c r="BL148" s="48">
        <f t="shared" si="278"/>
        <v>561.57000000000335</v>
      </c>
      <c r="BM148" s="48">
        <f t="shared" si="278"/>
        <v>3714.3900000000049</v>
      </c>
      <c r="BN148" s="48">
        <f t="shared" si="278"/>
        <v>0</v>
      </c>
      <c r="BO148" s="48">
        <f t="shared" si="278"/>
        <v>0</v>
      </c>
      <c r="BP148" s="48">
        <f t="shared" si="278"/>
        <v>490070.25</v>
      </c>
      <c r="BQ148" s="32">
        <f t="shared" si="243"/>
        <v>-144.14000000001397</v>
      </c>
      <c r="BR148" s="32">
        <f t="shared" si="244"/>
        <v>3570.25</v>
      </c>
      <c r="BS148" s="32"/>
      <c r="BT148" s="32"/>
      <c r="BU148" s="33"/>
      <c r="BV148" s="34">
        <f t="shared" si="245"/>
        <v>3152.8199999999488</v>
      </c>
      <c r="BX148" s="29">
        <f>BX144-BX142</f>
        <v>3100</v>
      </c>
      <c r="BY148" s="36"/>
      <c r="BZ148" s="36"/>
      <c r="CC148" s="37"/>
      <c r="CD148" s="48">
        <f>CD149</f>
        <v>462172.11</v>
      </c>
    </row>
    <row r="149" spans="1:82" s="63" customFormat="1" ht="18" customHeight="1" x14ac:dyDescent="0.25">
      <c r="A149" s="96" t="s">
        <v>58</v>
      </c>
      <c r="B149" s="97"/>
      <c r="C149" s="98"/>
      <c r="D149" s="103"/>
      <c r="E149" s="98" t="s">
        <v>442</v>
      </c>
      <c r="F149" s="105"/>
      <c r="G149" s="55">
        <v>445000</v>
      </c>
      <c r="H149" s="55">
        <v>447800</v>
      </c>
      <c r="I149" s="55">
        <f t="shared" ref="I149:Q149" si="279">SUM(I150:I157)</f>
        <v>445400</v>
      </c>
      <c r="J149" s="55">
        <f t="shared" si="279"/>
        <v>0</v>
      </c>
      <c r="K149" s="55">
        <f t="shared" si="279"/>
        <v>447395.52</v>
      </c>
      <c r="L149" s="55">
        <f t="shared" si="279"/>
        <v>228407.08000000002</v>
      </c>
      <c r="M149" s="55">
        <f t="shared" si="279"/>
        <v>228407.08000000002</v>
      </c>
      <c r="N149" s="55">
        <f t="shared" si="279"/>
        <v>456814.16000000003</v>
      </c>
      <c r="O149" s="55">
        <f t="shared" si="279"/>
        <v>456814.16000000003</v>
      </c>
      <c r="P149" s="55">
        <f t="shared" si="279"/>
        <v>11414.160000000007</v>
      </c>
      <c r="Q149" s="55">
        <f t="shared" si="279"/>
        <v>335057.93000000005</v>
      </c>
      <c r="R149" s="55"/>
      <c r="S149" s="55">
        <f>SUM(S150:S157)</f>
        <v>446124.62333600008</v>
      </c>
      <c r="T149" s="55">
        <f>SUM(T150:T157)</f>
        <v>724.62333600003331</v>
      </c>
      <c r="U149" s="55">
        <f>SUM(U150:U157)</f>
        <v>-1270.8966639999817</v>
      </c>
      <c r="V149" s="55">
        <f>SUM(V150:V157)</f>
        <v>-10689.536663999974</v>
      </c>
      <c r="W149" s="57"/>
      <c r="X149" s="55">
        <f>SUM(X150:X157)</f>
        <v>442892.82363636361</v>
      </c>
      <c r="Y149" s="88">
        <f t="shared" si="233"/>
        <v>-3231.7996996364673</v>
      </c>
      <c r="Z149" s="33">
        <f t="shared" ref="Z149:AL149" si="280">SUM(Z150:Z157)</f>
        <v>465853</v>
      </c>
      <c r="AA149" s="33">
        <f t="shared" si="280"/>
        <v>20453</v>
      </c>
      <c r="AB149" s="33">
        <f t="shared" si="280"/>
        <v>19728.376663999967</v>
      </c>
      <c r="AC149" s="33">
        <f t="shared" si="280"/>
        <v>0</v>
      </c>
      <c r="AD149" s="33">
        <f t="shared" si="280"/>
        <v>448844.60109999997</v>
      </c>
      <c r="AE149" s="33">
        <f t="shared" si="280"/>
        <v>17374.601099999971</v>
      </c>
      <c r="AF149" s="33">
        <f t="shared" si="280"/>
        <v>0</v>
      </c>
      <c r="AG149" s="33">
        <f t="shared" si="280"/>
        <v>0</v>
      </c>
      <c r="AH149" s="33">
        <f t="shared" si="280"/>
        <v>465852.86</v>
      </c>
      <c r="AI149" s="33">
        <f t="shared" si="280"/>
        <v>465632.72499999998</v>
      </c>
      <c r="AJ149" s="33">
        <f t="shared" si="280"/>
        <v>-0.13999999999941792</v>
      </c>
      <c r="AK149" s="60">
        <f t="shared" si="280"/>
        <v>467437.13420000003</v>
      </c>
      <c r="AL149" s="33">
        <f t="shared" si="280"/>
        <v>462046.66090909089</v>
      </c>
      <c r="AM149" s="74">
        <f t="shared" si="240"/>
        <v>-3586.0640909090871</v>
      </c>
      <c r="AN149" s="33">
        <f t="shared" si="241"/>
        <v>-3806.3390909091104</v>
      </c>
      <c r="AO149" s="75">
        <f t="shared" si="242"/>
        <v>-220.27500000002328</v>
      </c>
      <c r="AQ149" s="33"/>
      <c r="AR149" s="33"/>
      <c r="AS149" s="33"/>
      <c r="AT149" s="60">
        <f t="shared" ref="AT149:BP149" si="281">SUM(AT150:AT157)</f>
        <v>486315.84284</v>
      </c>
      <c r="AU149" s="33">
        <f t="shared" si="281"/>
        <v>462172.11</v>
      </c>
      <c r="AV149" s="33">
        <f t="shared" si="281"/>
        <v>486500</v>
      </c>
      <c r="AW149" s="33">
        <f t="shared" si="281"/>
        <v>20647</v>
      </c>
      <c r="AX149" s="33">
        <f t="shared" si="281"/>
        <v>20462.842839999983</v>
      </c>
      <c r="AY149" s="33">
        <f t="shared" si="281"/>
        <v>24269.18193090909</v>
      </c>
      <c r="AZ149" s="33">
        <f t="shared" si="281"/>
        <v>0</v>
      </c>
      <c r="BA149" s="33">
        <f t="shared" si="281"/>
        <v>0</v>
      </c>
      <c r="BB149" s="33">
        <f t="shared" si="281"/>
        <v>0</v>
      </c>
      <c r="BC149" s="33">
        <f t="shared" si="281"/>
        <v>0</v>
      </c>
      <c r="BD149" s="33">
        <f t="shared" si="281"/>
        <v>0</v>
      </c>
      <c r="BE149" s="33">
        <f t="shared" si="281"/>
        <v>496500</v>
      </c>
      <c r="BF149" s="33">
        <f t="shared" si="281"/>
        <v>495694.45999999996</v>
      </c>
      <c r="BG149" s="33">
        <f t="shared" si="281"/>
        <v>10000</v>
      </c>
      <c r="BH149" s="33">
        <f t="shared" si="281"/>
        <v>489652.81999999995</v>
      </c>
      <c r="BI149" s="33">
        <f t="shared" si="281"/>
        <v>9194.4600000000155</v>
      </c>
      <c r="BJ149" s="33">
        <f t="shared" si="281"/>
        <v>33522.350000000028</v>
      </c>
      <c r="BK149" s="33">
        <f t="shared" si="281"/>
        <v>490214.39</v>
      </c>
      <c r="BL149" s="33">
        <f t="shared" si="281"/>
        <v>561.57000000000335</v>
      </c>
      <c r="BM149" s="33">
        <f t="shared" si="281"/>
        <v>3714.3900000000049</v>
      </c>
      <c r="BN149" s="33">
        <f t="shared" si="281"/>
        <v>0</v>
      </c>
      <c r="BO149" s="33">
        <f t="shared" si="281"/>
        <v>0</v>
      </c>
      <c r="BP149" s="33">
        <f t="shared" si="281"/>
        <v>490070.25</v>
      </c>
      <c r="BQ149" s="32">
        <f t="shared" si="243"/>
        <v>-144.14000000001397</v>
      </c>
      <c r="BR149" s="32">
        <f t="shared" si="244"/>
        <v>3570.25</v>
      </c>
      <c r="BS149" s="32"/>
      <c r="BT149" s="32"/>
      <c r="BU149" s="33"/>
      <c r="BV149" s="34">
        <f t="shared" si="245"/>
        <v>3152.8199999999488</v>
      </c>
      <c r="BY149" s="64"/>
      <c r="BZ149" s="64"/>
      <c r="CC149" s="37"/>
      <c r="CD149" s="33">
        <f>SUM(CD150:CD157)</f>
        <v>462172.11</v>
      </c>
    </row>
    <row r="150" spans="1:82" s="77" customFormat="1" ht="18" customHeight="1" x14ac:dyDescent="0.25">
      <c r="A150" s="99" t="s">
        <v>58</v>
      </c>
      <c r="B150" s="100"/>
      <c r="C150" s="101"/>
      <c r="D150" s="93"/>
      <c r="E150" s="98"/>
      <c r="F150" s="121" t="s">
        <v>443</v>
      </c>
      <c r="G150" s="83">
        <v>414500</v>
      </c>
      <c r="H150" s="83">
        <v>420500</v>
      </c>
      <c r="I150" s="83">
        <v>414500</v>
      </c>
      <c r="J150" s="70" t="s">
        <v>444</v>
      </c>
      <c r="K150" s="83">
        <v>420474.39</v>
      </c>
      <c r="L150" s="83">
        <v>214078.38</v>
      </c>
      <c r="M150" s="83">
        <f t="shared" ref="M150:M157" si="282">L150</f>
        <v>214078.38</v>
      </c>
      <c r="N150" s="83">
        <f t="shared" ref="N150:N157" si="283">M150*2</f>
        <v>428156.76</v>
      </c>
      <c r="O150" s="83">
        <f>N150</f>
        <v>428156.76</v>
      </c>
      <c r="P150" s="83">
        <f t="shared" ref="P150:P157" si="284">N150-I150</f>
        <v>13656.760000000009</v>
      </c>
      <c r="Q150" s="83">
        <v>312846.08000000002</v>
      </c>
      <c r="R150" s="83"/>
      <c r="S150" s="83">
        <f>Q150+((33443.8+168.06)*3)+(201.78*(1284.4/30/760)*20*1.22)</f>
        <v>413959.01333600003</v>
      </c>
      <c r="T150" s="83">
        <f t="shared" ref="T150:T157" si="285">S150-I150</f>
        <v>-540.98666399996728</v>
      </c>
      <c r="U150" s="83">
        <f t="shared" ref="U150:U157" si="286">S150-K150</f>
        <v>-6515.3766639999812</v>
      </c>
      <c r="V150" s="83">
        <f t="shared" ref="V150:V157" si="287">S150-O150</f>
        <v>-14197.746663999977</v>
      </c>
      <c r="W150" s="84" t="s">
        <v>445</v>
      </c>
      <c r="X150" s="83">
        <f>380069.8+(33443.8+168.06)</f>
        <v>413681.66</v>
      </c>
      <c r="Y150" s="47">
        <f t="shared" si="233"/>
        <v>-277.35333600005833</v>
      </c>
      <c r="Z150" s="85">
        <v>431470</v>
      </c>
      <c r="AA150" s="29">
        <f t="shared" ref="AA150:AA157" si="288">Z150-I150</f>
        <v>16970</v>
      </c>
      <c r="AB150" s="29">
        <f t="shared" ref="AB150:AB157" si="289">Z150-S150</f>
        <v>17510.986663999967</v>
      </c>
      <c r="AC150" s="72" t="s">
        <v>446</v>
      </c>
      <c r="AD150" s="72">
        <f>X150*108.5%</f>
        <v>448844.60109999997</v>
      </c>
      <c r="AE150" s="72">
        <f>AD150-Z150</f>
        <v>17374.601099999971</v>
      </c>
      <c r="AF150" s="72"/>
      <c r="AG150" s="72"/>
      <c r="AH150" s="85">
        <f>Z150</f>
        <v>431470</v>
      </c>
      <c r="AI150" s="85">
        <f>253879.3+((35634.93+179.07)*5)+(201.3*(0.45+1+1+1+1))</f>
        <v>433845.08499999996</v>
      </c>
      <c r="AJ150" s="85">
        <f t="shared" ref="AJ150:AJ157" si="290">AH150-Z150</f>
        <v>0</v>
      </c>
      <c r="AK150" s="86">
        <v>435194.61420000001</v>
      </c>
      <c r="AL150" s="85">
        <f>398805.83+(36206.84+181.94)</f>
        <v>435194.61</v>
      </c>
      <c r="AM150" s="74">
        <f t="shared" si="240"/>
        <v>1349.5250000000233</v>
      </c>
      <c r="AN150" s="33">
        <f t="shared" si="241"/>
        <v>3724.609999999986</v>
      </c>
      <c r="AO150" s="75">
        <f t="shared" si="242"/>
        <v>2375.0849999999627</v>
      </c>
      <c r="AQ150" s="85" t="s">
        <v>447</v>
      </c>
      <c r="AR150" s="85" t="s">
        <v>448</v>
      </c>
      <c r="AS150" s="85" t="s">
        <v>447</v>
      </c>
      <c r="AT150" s="86">
        <f>((36206.84+181.94)*8)+(489960.36/12*4)</f>
        <v>454430.36</v>
      </c>
      <c r="AU150" s="71">
        <v>435194.61</v>
      </c>
      <c r="AV150" s="71">
        <f>CEILING(AT150,100)</f>
        <v>454500</v>
      </c>
      <c r="AW150" s="71">
        <f t="shared" ref="AW150:AW157" si="291">AV150-Z150</f>
        <v>23030</v>
      </c>
      <c r="AX150" s="76">
        <f t="shared" ref="AX150:AX157" si="292">AT150-Z150</f>
        <v>22960.359999999986</v>
      </c>
      <c r="AY150" s="76">
        <f t="shared" ref="AY150:AY157" si="293">AT150-AL150</f>
        <v>19235.75</v>
      </c>
      <c r="AZ150" s="77" t="s">
        <v>449</v>
      </c>
      <c r="BE150" s="71">
        <f>454500+10000</f>
        <v>464500</v>
      </c>
      <c r="BF150" s="71">
        <f>278528.14+((37295.28+187.42)*5)</f>
        <v>465941.64</v>
      </c>
      <c r="BG150" s="78">
        <f t="shared" ref="BG150:BG157" si="294">BE150-AV150</f>
        <v>10000</v>
      </c>
      <c r="BH150" s="71">
        <v>459900</v>
      </c>
      <c r="BI150" s="33">
        <f t="shared" ref="BI150:BI157" si="295">BF150-AV150</f>
        <v>11441.640000000014</v>
      </c>
      <c r="BJ150" s="33">
        <f t="shared" ref="BJ150:BJ157" si="296">BF150-AU150</f>
        <v>30747.030000000028</v>
      </c>
      <c r="BK150" s="71">
        <v>459899.69</v>
      </c>
      <c r="BL150" s="79">
        <f t="shared" ref="BL150:BL157" si="297">BK150-BH150</f>
        <v>-0.30999999999767169</v>
      </c>
      <c r="BM150" s="79">
        <f t="shared" ref="BM150:BM157" si="298">BK150-AV150</f>
        <v>5399.6900000000023</v>
      </c>
      <c r="BN150" s="153" t="s">
        <v>450</v>
      </c>
      <c r="BO150" s="91" t="s">
        <v>450</v>
      </c>
      <c r="BP150" s="71">
        <v>459899.69</v>
      </c>
      <c r="BQ150" s="32">
        <f t="shared" si="243"/>
        <v>0</v>
      </c>
      <c r="BR150" s="32">
        <f t="shared" si="244"/>
        <v>5399.6900000000023</v>
      </c>
      <c r="BS150" s="91" t="s">
        <v>450</v>
      </c>
      <c r="BT150" s="91" t="s">
        <v>451</v>
      </c>
      <c r="BU150" s="102" t="s">
        <v>452</v>
      </c>
      <c r="BV150" s="34">
        <f t="shared" si="245"/>
        <v>5400</v>
      </c>
      <c r="BW150" s="77">
        <v>459900</v>
      </c>
      <c r="BX150" s="72">
        <f>BW150-BF150</f>
        <v>-6041.640000000014</v>
      </c>
      <c r="BY150" s="82"/>
      <c r="BZ150" s="82"/>
      <c r="CC150" s="37"/>
      <c r="CD150" s="71">
        <v>435194.61</v>
      </c>
    </row>
    <row r="151" spans="1:82" s="77" customFormat="1" ht="18" customHeight="1" x14ac:dyDescent="0.25">
      <c r="A151" s="99" t="s">
        <v>58</v>
      </c>
      <c r="B151" s="100"/>
      <c r="C151" s="101"/>
      <c r="D151" s="93"/>
      <c r="E151" s="98"/>
      <c r="F151" s="121" t="s">
        <v>453</v>
      </c>
      <c r="G151" s="83">
        <v>5400</v>
      </c>
      <c r="H151" s="83">
        <v>5800</v>
      </c>
      <c r="I151" s="83">
        <v>5800</v>
      </c>
      <c r="J151" s="70" t="s">
        <v>454</v>
      </c>
      <c r="K151" s="83">
        <v>6134.91</v>
      </c>
      <c r="L151" s="83">
        <v>4018.64</v>
      </c>
      <c r="M151" s="83">
        <f t="shared" si="282"/>
        <v>4018.64</v>
      </c>
      <c r="N151" s="83">
        <f t="shared" si="283"/>
        <v>8037.28</v>
      </c>
      <c r="O151" s="83">
        <f>N151</f>
        <v>8037.28</v>
      </c>
      <c r="P151" s="83">
        <f t="shared" si="284"/>
        <v>2237.2799999999997</v>
      </c>
      <c r="Q151" s="83">
        <v>6932.84</v>
      </c>
      <c r="R151" s="83"/>
      <c r="S151" s="83">
        <f>Q151+3600</f>
        <v>10532.84</v>
      </c>
      <c r="T151" s="83">
        <f t="shared" si="285"/>
        <v>4732.84</v>
      </c>
      <c r="U151" s="83">
        <f t="shared" si="286"/>
        <v>4397.93</v>
      </c>
      <c r="V151" s="83">
        <f t="shared" si="287"/>
        <v>2495.5600000000004</v>
      </c>
      <c r="W151" s="84"/>
      <c r="X151" s="83">
        <f>8577.26/11*12</f>
        <v>9357.01090909091</v>
      </c>
      <c r="Y151" s="47">
        <f t="shared" si="233"/>
        <v>-1175.8290909090902</v>
      </c>
      <c r="Z151" s="85">
        <v>9357</v>
      </c>
      <c r="AA151" s="29">
        <f t="shared" si="288"/>
        <v>3557</v>
      </c>
      <c r="AB151" s="29">
        <f t="shared" si="289"/>
        <v>-1175.8400000000001</v>
      </c>
      <c r="AC151" s="72"/>
      <c r="AD151" s="72"/>
      <c r="AE151" s="72"/>
      <c r="AF151" s="72"/>
      <c r="AG151" s="85"/>
      <c r="AH151" s="85">
        <f>Z151</f>
        <v>9357</v>
      </c>
      <c r="AI151" s="85">
        <f>3944.29/7*12</f>
        <v>6761.64</v>
      </c>
      <c r="AJ151" s="85">
        <f t="shared" si="290"/>
        <v>0</v>
      </c>
      <c r="AK151" s="86">
        <v>7216.52</v>
      </c>
      <c r="AL151" s="85">
        <f>6146.49/11*12</f>
        <v>6705.2618181818179</v>
      </c>
      <c r="AM151" s="74">
        <f t="shared" si="240"/>
        <v>-56.378181818182384</v>
      </c>
      <c r="AN151" s="33">
        <f t="shared" si="241"/>
        <v>-2651.7381818181821</v>
      </c>
      <c r="AO151" s="75">
        <f t="shared" si="242"/>
        <v>-2595.3599999999997</v>
      </c>
      <c r="AQ151" s="90" t="s">
        <v>455</v>
      </c>
      <c r="AR151" s="90" t="s">
        <v>256</v>
      </c>
      <c r="AS151" s="90" t="s">
        <v>455</v>
      </c>
      <c r="AT151" s="86">
        <f t="shared" ref="AT151:AT156" si="299">AL151*102.3%</f>
        <v>6859.4828399999988</v>
      </c>
      <c r="AU151" s="71">
        <v>6572.03</v>
      </c>
      <c r="AV151" s="71">
        <f>CEILING(AT151,100)</f>
        <v>6900</v>
      </c>
      <c r="AW151" s="71">
        <f t="shared" si="291"/>
        <v>-2457</v>
      </c>
      <c r="AX151" s="76">
        <f t="shared" si="292"/>
        <v>-2497.5171600000012</v>
      </c>
      <c r="AY151" s="76">
        <f t="shared" si="293"/>
        <v>154.22102181818082</v>
      </c>
      <c r="AZ151" s="145" t="s">
        <v>300</v>
      </c>
      <c r="BE151" s="71">
        <v>6900</v>
      </c>
      <c r="BF151" s="71">
        <f>(4158.35/7*8)+((6480*1.22)/12*4)</f>
        <v>7387.6</v>
      </c>
      <c r="BG151" s="78">
        <f t="shared" si="294"/>
        <v>0</v>
      </c>
      <c r="BH151" s="71">
        <f t="shared" ref="BH151:BH157" si="300">BF151</f>
        <v>7387.6</v>
      </c>
      <c r="BI151" s="33">
        <f t="shared" si="295"/>
        <v>487.60000000000036</v>
      </c>
      <c r="BJ151" s="33">
        <f t="shared" si="296"/>
        <v>815.57000000000062</v>
      </c>
      <c r="BK151" s="71">
        <v>7729.92</v>
      </c>
      <c r="BL151" s="79">
        <f t="shared" si="297"/>
        <v>342.31999999999971</v>
      </c>
      <c r="BM151" s="79">
        <f t="shared" si="298"/>
        <v>829.92000000000007</v>
      </c>
      <c r="BN151" s="91" t="s">
        <v>456</v>
      </c>
      <c r="BO151" s="91" t="s">
        <v>456</v>
      </c>
      <c r="BP151" s="71">
        <v>7579.6</v>
      </c>
      <c r="BQ151" s="32">
        <f t="shared" si="243"/>
        <v>-150.31999999999971</v>
      </c>
      <c r="BR151" s="32">
        <f t="shared" si="244"/>
        <v>679.60000000000036</v>
      </c>
      <c r="BS151" s="91" t="s">
        <v>456</v>
      </c>
      <c r="BT151" s="91" t="s">
        <v>456</v>
      </c>
      <c r="BU151" s="33"/>
      <c r="BV151" s="34">
        <f t="shared" si="245"/>
        <v>487.60000000000036</v>
      </c>
      <c r="BY151" s="82"/>
      <c r="BZ151" s="82"/>
      <c r="CC151" s="37"/>
      <c r="CD151" s="71">
        <v>6572.03</v>
      </c>
    </row>
    <row r="152" spans="1:82" s="77" customFormat="1" ht="18" hidden="1" customHeight="1" x14ac:dyDescent="0.25">
      <c r="A152" s="99" t="s">
        <v>58</v>
      </c>
      <c r="B152" s="100"/>
      <c r="C152" s="101"/>
      <c r="D152" s="93"/>
      <c r="E152" s="98"/>
      <c r="F152" s="121" t="s">
        <v>457</v>
      </c>
      <c r="G152" s="106">
        <v>0</v>
      </c>
      <c r="H152" s="106"/>
      <c r="I152" s="106">
        <v>0</v>
      </c>
      <c r="J152" s="70" t="s">
        <v>458</v>
      </c>
      <c r="K152" s="106">
        <v>0</v>
      </c>
      <c r="L152" s="106"/>
      <c r="M152" s="106">
        <f t="shared" si="282"/>
        <v>0</v>
      </c>
      <c r="N152" s="106">
        <f t="shared" si="283"/>
        <v>0</v>
      </c>
      <c r="O152" s="106"/>
      <c r="P152" s="106">
        <f t="shared" si="284"/>
        <v>0</v>
      </c>
      <c r="Q152" s="106"/>
      <c r="R152" s="106"/>
      <c r="S152" s="106"/>
      <c r="T152" s="106">
        <f t="shared" si="285"/>
        <v>0</v>
      </c>
      <c r="U152" s="107">
        <f t="shared" si="286"/>
        <v>0</v>
      </c>
      <c r="V152" s="106">
        <f t="shared" si="287"/>
        <v>0</v>
      </c>
      <c r="W152" s="108"/>
      <c r="X152" s="109"/>
      <c r="Y152" s="24">
        <f t="shared" si="233"/>
        <v>0</v>
      </c>
      <c r="Z152" s="85">
        <f>S152</f>
        <v>0</v>
      </c>
      <c r="AA152" s="29">
        <f t="shared" si="288"/>
        <v>0</v>
      </c>
      <c r="AB152" s="29">
        <f t="shared" si="289"/>
        <v>0</v>
      </c>
      <c r="AC152" s="72"/>
      <c r="AD152" s="72"/>
      <c r="AE152" s="72"/>
      <c r="AF152" s="72"/>
      <c r="AG152" s="72"/>
      <c r="AH152" s="85">
        <f>AA152</f>
        <v>0</v>
      </c>
      <c r="AI152" s="85"/>
      <c r="AJ152" s="85">
        <f t="shared" si="290"/>
        <v>0</v>
      </c>
      <c r="AK152" s="86"/>
      <c r="AL152" s="133"/>
      <c r="AM152" s="27">
        <f t="shared" si="240"/>
        <v>0</v>
      </c>
      <c r="AN152" s="61">
        <f t="shared" si="241"/>
        <v>0</v>
      </c>
      <c r="AO152" s="62">
        <f t="shared" si="242"/>
        <v>0</v>
      </c>
      <c r="AQ152" s="85"/>
      <c r="AR152" s="85"/>
      <c r="AS152" s="85"/>
      <c r="AT152" s="154">
        <f t="shared" si="299"/>
        <v>0</v>
      </c>
      <c r="AU152" s="133"/>
      <c r="AV152" s="133"/>
      <c r="AW152" s="133">
        <f t="shared" si="291"/>
        <v>0</v>
      </c>
      <c r="AX152" s="76">
        <f t="shared" si="292"/>
        <v>0</v>
      </c>
      <c r="AY152" s="76">
        <f t="shared" si="293"/>
        <v>0</v>
      </c>
      <c r="BE152" s="133"/>
      <c r="BF152" s="133"/>
      <c r="BG152" s="78">
        <f t="shared" si="294"/>
        <v>0</v>
      </c>
      <c r="BH152" s="71">
        <f t="shared" si="300"/>
        <v>0</v>
      </c>
      <c r="BI152" s="33">
        <f t="shared" si="295"/>
        <v>0</v>
      </c>
      <c r="BJ152" s="33">
        <f t="shared" si="296"/>
        <v>0</v>
      </c>
      <c r="BK152" s="71"/>
      <c r="BL152" s="79">
        <f t="shared" si="297"/>
        <v>0</v>
      </c>
      <c r="BM152" s="79">
        <f t="shared" si="298"/>
        <v>0</v>
      </c>
      <c r="BN152" s="32"/>
      <c r="BO152" s="32"/>
      <c r="BP152" s="71"/>
      <c r="BQ152" s="32">
        <f t="shared" si="243"/>
        <v>0</v>
      </c>
      <c r="BR152" s="32">
        <f t="shared" si="244"/>
        <v>0</v>
      </c>
      <c r="BS152" s="32"/>
      <c r="BT152" s="32"/>
      <c r="BU152" s="33"/>
      <c r="BV152" s="34">
        <f t="shared" si="245"/>
        <v>0</v>
      </c>
      <c r="BY152" s="82"/>
      <c r="BZ152" s="82"/>
      <c r="CC152" s="37"/>
      <c r="CD152" s="71"/>
    </row>
    <row r="153" spans="1:82" s="77" customFormat="1" ht="18" hidden="1" customHeight="1" x14ac:dyDescent="0.25">
      <c r="A153" s="99" t="s">
        <v>58</v>
      </c>
      <c r="B153" s="100"/>
      <c r="C153" s="101"/>
      <c r="D153" s="93"/>
      <c r="E153" s="98"/>
      <c r="F153" s="121" t="s">
        <v>459</v>
      </c>
      <c r="G153" s="106">
        <v>0</v>
      </c>
      <c r="H153" s="106"/>
      <c r="I153" s="106">
        <v>0</v>
      </c>
      <c r="J153" s="70"/>
      <c r="K153" s="106">
        <v>0</v>
      </c>
      <c r="L153" s="106"/>
      <c r="M153" s="106">
        <f t="shared" si="282"/>
        <v>0</v>
      </c>
      <c r="N153" s="106">
        <f t="shared" si="283"/>
        <v>0</v>
      </c>
      <c r="O153" s="106"/>
      <c r="P153" s="106">
        <f t="shared" si="284"/>
        <v>0</v>
      </c>
      <c r="Q153" s="106"/>
      <c r="R153" s="106"/>
      <c r="S153" s="106"/>
      <c r="T153" s="106">
        <f t="shared" si="285"/>
        <v>0</v>
      </c>
      <c r="U153" s="107">
        <f t="shared" si="286"/>
        <v>0</v>
      </c>
      <c r="V153" s="106">
        <f t="shared" si="287"/>
        <v>0</v>
      </c>
      <c r="W153" s="108"/>
      <c r="X153" s="109"/>
      <c r="Y153" s="24">
        <f t="shared" si="233"/>
        <v>0</v>
      </c>
      <c r="Z153" s="85">
        <f>S153</f>
        <v>0</v>
      </c>
      <c r="AA153" s="29">
        <f t="shared" si="288"/>
        <v>0</v>
      </c>
      <c r="AB153" s="29">
        <f t="shared" si="289"/>
        <v>0</v>
      </c>
      <c r="AC153" s="72"/>
      <c r="AD153" s="72"/>
      <c r="AE153" s="72"/>
      <c r="AF153" s="72"/>
      <c r="AG153" s="72"/>
      <c r="AH153" s="85">
        <f>AA153</f>
        <v>0</v>
      </c>
      <c r="AI153" s="85"/>
      <c r="AJ153" s="85">
        <f t="shared" si="290"/>
        <v>0</v>
      </c>
      <c r="AK153" s="86"/>
      <c r="AL153" s="133"/>
      <c r="AM153" s="27">
        <f t="shared" si="240"/>
        <v>0</v>
      </c>
      <c r="AN153" s="61">
        <f t="shared" si="241"/>
        <v>0</v>
      </c>
      <c r="AO153" s="62">
        <f t="shared" si="242"/>
        <v>0</v>
      </c>
      <c r="AQ153" s="85"/>
      <c r="AR153" s="85"/>
      <c r="AS153" s="85"/>
      <c r="AT153" s="154">
        <f t="shared" si="299"/>
        <v>0</v>
      </c>
      <c r="AU153" s="133"/>
      <c r="AV153" s="133"/>
      <c r="AW153" s="133">
        <f t="shared" si="291"/>
        <v>0</v>
      </c>
      <c r="AX153" s="76">
        <f t="shared" si="292"/>
        <v>0</v>
      </c>
      <c r="AY153" s="76">
        <f t="shared" si="293"/>
        <v>0</v>
      </c>
      <c r="BE153" s="133"/>
      <c r="BF153" s="133"/>
      <c r="BG153" s="78">
        <f t="shared" si="294"/>
        <v>0</v>
      </c>
      <c r="BH153" s="71">
        <f t="shared" si="300"/>
        <v>0</v>
      </c>
      <c r="BI153" s="33">
        <f t="shared" si="295"/>
        <v>0</v>
      </c>
      <c r="BJ153" s="33">
        <f t="shared" si="296"/>
        <v>0</v>
      </c>
      <c r="BK153" s="71"/>
      <c r="BL153" s="79">
        <f t="shared" si="297"/>
        <v>0</v>
      </c>
      <c r="BM153" s="79">
        <f t="shared" si="298"/>
        <v>0</v>
      </c>
      <c r="BN153" s="32"/>
      <c r="BO153" s="32"/>
      <c r="BP153" s="71"/>
      <c r="BQ153" s="32">
        <f t="shared" si="243"/>
        <v>0</v>
      </c>
      <c r="BR153" s="32">
        <f t="shared" si="244"/>
        <v>0</v>
      </c>
      <c r="BS153" s="32"/>
      <c r="BT153" s="32"/>
      <c r="BU153" s="33"/>
      <c r="BV153" s="34">
        <f t="shared" si="245"/>
        <v>0</v>
      </c>
      <c r="BY153" s="82"/>
      <c r="BZ153" s="82"/>
      <c r="CC153" s="37"/>
      <c r="CD153" s="71"/>
    </row>
    <row r="154" spans="1:82" s="77" customFormat="1" ht="18" hidden="1" customHeight="1" x14ac:dyDescent="0.25">
      <c r="A154" s="99" t="s">
        <v>58</v>
      </c>
      <c r="B154" s="100"/>
      <c r="C154" s="101"/>
      <c r="D154" s="93"/>
      <c r="E154" s="98"/>
      <c r="F154" s="121" t="s">
        <v>460</v>
      </c>
      <c r="G154" s="106">
        <v>0</v>
      </c>
      <c r="H154" s="106"/>
      <c r="I154" s="106">
        <v>0</v>
      </c>
      <c r="J154" s="70"/>
      <c r="K154" s="106">
        <v>0</v>
      </c>
      <c r="L154" s="106"/>
      <c r="M154" s="106">
        <f t="shared" si="282"/>
        <v>0</v>
      </c>
      <c r="N154" s="106">
        <f t="shared" si="283"/>
        <v>0</v>
      </c>
      <c r="O154" s="106"/>
      <c r="P154" s="106">
        <f t="shared" si="284"/>
        <v>0</v>
      </c>
      <c r="Q154" s="106"/>
      <c r="R154" s="106"/>
      <c r="S154" s="106"/>
      <c r="T154" s="106">
        <f t="shared" si="285"/>
        <v>0</v>
      </c>
      <c r="U154" s="107">
        <f t="shared" si="286"/>
        <v>0</v>
      </c>
      <c r="V154" s="106">
        <f t="shared" si="287"/>
        <v>0</v>
      </c>
      <c r="W154" s="108"/>
      <c r="X154" s="109"/>
      <c r="Y154" s="24">
        <f t="shared" si="233"/>
        <v>0</v>
      </c>
      <c r="Z154" s="85">
        <f>S154</f>
        <v>0</v>
      </c>
      <c r="AA154" s="29">
        <f t="shared" si="288"/>
        <v>0</v>
      </c>
      <c r="AB154" s="29">
        <f t="shared" si="289"/>
        <v>0</v>
      </c>
      <c r="AC154" s="72"/>
      <c r="AD154" s="72"/>
      <c r="AE154" s="72"/>
      <c r="AF154" s="72"/>
      <c r="AG154" s="72"/>
      <c r="AH154" s="85">
        <f>AA154</f>
        <v>0</v>
      </c>
      <c r="AI154" s="85"/>
      <c r="AJ154" s="85">
        <f t="shared" si="290"/>
        <v>0</v>
      </c>
      <c r="AK154" s="86"/>
      <c r="AL154" s="133"/>
      <c r="AM154" s="27">
        <f t="shared" si="240"/>
        <v>0</v>
      </c>
      <c r="AN154" s="61">
        <f t="shared" si="241"/>
        <v>0</v>
      </c>
      <c r="AO154" s="62">
        <f t="shared" si="242"/>
        <v>0</v>
      </c>
      <c r="AQ154" s="85"/>
      <c r="AR154" s="85"/>
      <c r="AS154" s="85"/>
      <c r="AT154" s="154">
        <f t="shared" si="299"/>
        <v>0</v>
      </c>
      <c r="AU154" s="133"/>
      <c r="AV154" s="133"/>
      <c r="AW154" s="133">
        <f t="shared" si="291"/>
        <v>0</v>
      </c>
      <c r="AX154" s="76">
        <f t="shared" si="292"/>
        <v>0</v>
      </c>
      <c r="AY154" s="76">
        <f t="shared" si="293"/>
        <v>0</v>
      </c>
      <c r="BE154" s="133"/>
      <c r="BF154" s="133"/>
      <c r="BG154" s="78">
        <f t="shared" si="294"/>
        <v>0</v>
      </c>
      <c r="BH154" s="71">
        <f t="shared" si="300"/>
        <v>0</v>
      </c>
      <c r="BI154" s="33">
        <f t="shared" si="295"/>
        <v>0</v>
      </c>
      <c r="BJ154" s="33">
        <f t="shared" si="296"/>
        <v>0</v>
      </c>
      <c r="BK154" s="71"/>
      <c r="BL154" s="79">
        <f t="shared" si="297"/>
        <v>0</v>
      </c>
      <c r="BM154" s="79">
        <f t="shared" si="298"/>
        <v>0</v>
      </c>
      <c r="BN154" s="32"/>
      <c r="BO154" s="32"/>
      <c r="BP154" s="71"/>
      <c r="BQ154" s="32">
        <f t="shared" si="243"/>
        <v>0</v>
      </c>
      <c r="BR154" s="32">
        <f t="shared" si="244"/>
        <v>0</v>
      </c>
      <c r="BS154" s="32"/>
      <c r="BT154" s="32"/>
      <c r="BU154" s="33"/>
      <c r="BV154" s="34">
        <f t="shared" si="245"/>
        <v>0</v>
      </c>
      <c r="BY154" s="82"/>
      <c r="BZ154" s="82"/>
      <c r="CC154" s="37"/>
      <c r="CD154" s="71"/>
    </row>
    <row r="155" spans="1:82" s="77" customFormat="1" ht="18" hidden="1" customHeight="1" x14ac:dyDescent="0.25">
      <c r="A155" s="99" t="s">
        <v>58</v>
      </c>
      <c r="B155" s="100"/>
      <c r="C155" s="101"/>
      <c r="D155" s="93"/>
      <c r="E155" s="98"/>
      <c r="F155" s="121" t="s">
        <v>461</v>
      </c>
      <c r="G155" s="106">
        <v>0</v>
      </c>
      <c r="H155" s="106"/>
      <c r="I155" s="106">
        <v>0</v>
      </c>
      <c r="J155" s="70"/>
      <c r="K155" s="106">
        <v>0</v>
      </c>
      <c r="L155" s="106"/>
      <c r="M155" s="106">
        <f t="shared" si="282"/>
        <v>0</v>
      </c>
      <c r="N155" s="106">
        <f t="shared" si="283"/>
        <v>0</v>
      </c>
      <c r="O155" s="106"/>
      <c r="P155" s="106">
        <f t="shared" si="284"/>
        <v>0</v>
      </c>
      <c r="Q155" s="106"/>
      <c r="R155" s="106"/>
      <c r="S155" s="106"/>
      <c r="T155" s="106">
        <f t="shared" si="285"/>
        <v>0</v>
      </c>
      <c r="U155" s="107">
        <f t="shared" si="286"/>
        <v>0</v>
      </c>
      <c r="V155" s="106">
        <f t="shared" si="287"/>
        <v>0</v>
      </c>
      <c r="W155" s="108"/>
      <c r="X155" s="109"/>
      <c r="Y155" s="24">
        <f t="shared" si="233"/>
        <v>0</v>
      </c>
      <c r="Z155" s="85">
        <f>S155</f>
        <v>0</v>
      </c>
      <c r="AA155" s="29">
        <f t="shared" si="288"/>
        <v>0</v>
      </c>
      <c r="AB155" s="29">
        <f t="shared" si="289"/>
        <v>0</v>
      </c>
      <c r="AC155" s="72"/>
      <c r="AD155" s="72"/>
      <c r="AE155" s="72"/>
      <c r="AF155" s="72"/>
      <c r="AG155" s="72"/>
      <c r="AH155" s="85">
        <f>AA155</f>
        <v>0</v>
      </c>
      <c r="AI155" s="85"/>
      <c r="AJ155" s="85">
        <f t="shared" si="290"/>
        <v>0</v>
      </c>
      <c r="AK155" s="86"/>
      <c r="AL155" s="133"/>
      <c r="AM155" s="27">
        <f t="shared" si="240"/>
        <v>0</v>
      </c>
      <c r="AN155" s="61">
        <f t="shared" si="241"/>
        <v>0</v>
      </c>
      <c r="AO155" s="62">
        <f t="shared" si="242"/>
        <v>0</v>
      </c>
      <c r="AQ155" s="85"/>
      <c r="AR155" s="85"/>
      <c r="AS155" s="85"/>
      <c r="AT155" s="154">
        <f t="shared" si="299"/>
        <v>0</v>
      </c>
      <c r="AU155" s="133"/>
      <c r="AV155" s="133"/>
      <c r="AW155" s="133">
        <f t="shared" si="291"/>
        <v>0</v>
      </c>
      <c r="AX155" s="76">
        <f t="shared" si="292"/>
        <v>0</v>
      </c>
      <c r="AY155" s="76">
        <f t="shared" si="293"/>
        <v>0</v>
      </c>
      <c r="BE155" s="133"/>
      <c r="BF155" s="133"/>
      <c r="BG155" s="78">
        <f t="shared" si="294"/>
        <v>0</v>
      </c>
      <c r="BH155" s="71">
        <f t="shared" si="300"/>
        <v>0</v>
      </c>
      <c r="BI155" s="33">
        <f t="shared" si="295"/>
        <v>0</v>
      </c>
      <c r="BJ155" s="33">
        <f t="shared" si="296"/>
        <v>0</v>
      </c>
      <c r="BK155" s="71"/>
      <c r="BL155" s="79">
        <f t="shared" si="297"/>
        <v>0</v>
      </c>
      <c r="BM155" s="79">
        <f t="shared" si="298"/>
        <v>0</v>
      </c>
      <c r="BN155" s="32"/>
      <c r="BO155" s="32"/>
      <c r="BP155" s="71"/>
      <c r="BQ155" s="32">
        <f t="shared" si="243"/>
        <v>0</v>
      </c>
      <c r="BR155" s="32">
        <f t="shared" si="244"/>
        <v>0</v>
      </c>
      <c r="BS155" s="32"/>
      <c r="BT155" s="32"/>
      <c r="BU155" s="33"/>
      <c r="BV155" s="34">
        <f t="shared" si="245"/>
        <v>0</v>
      </c>
      <c r="BY155" s="82"/>
      <c r="BZ155" s="82"/>
      <c r="CC155" s="37"/>
      <c r="CD155" s="71"/>
    </row>
    <row r="156" spans="1:82" s="77" customFormat="1" ht="18" hidden="1" customHeight="1" x14ac:dyDescent="0.25">
      <c r="A156" s="99" t="s">
        <v>58</v>
      </c>
      <c r="B156" s="100"/>
      <c r="C156" s="101"/>
      <c r="D156" s="93"/>
      <c r="E156" s="98"/>
      <c r="F156" s="121" t="s">
        <v>462</v>
      </c>
      <c r="G156" s="106">
        <v>0</v>
      </c>
      <c r="H156" s="106"/>
      <c r="I156" s="106">
        <v>0</v>
      </c>
      <c r="J156" s="70"/>
      <c r="K156" s="106">
        <v>0</v>
      </c>
      <c r="L156" s="106"/>
      <c r="M156" s="106">
        <f t="shared" si="282"/>
        <v>0</v>
      </c>
      <c r="N156" s="106">
        <f t="shared" si="283"/>
        <v>0</v>
      </c>
      <c r="O156" s="106"/>
      <c r="P156" s="106">
        <f t="shared" si="284"/>
        <v>0</v>
      </c>
      <c r="Q156" s="106"/>
      <c r="R156" s="106"/>
      <c r="S156" s="106"/>
      <c r="T156" s="106">
        <f t="shared" si="285"/>
        <v>0</v>
      </c>
      <c r="U156" s="107">
        <f t="shared" si="286"/>
        <v>0</v>
      </c>
      <c r="V156" s="106">
        <f t="shared" si="287"/>
        <v>0</v>
      </c>
      <c r="W156" s="108"/>
      <c r="X156" s="109"/>
      <c r="Y156" s="24">
        <f t="shared" si="233"/>
        <v>0</v>
      </c>
      <c r="Z156" s="85">
        <f>S156</f>
        <v>0</v>
      </c>
      <c r="AA156" s="29">
        <f t="shared" si="288"/>
        <v>0</v>
      </c>
      <c r="AB156" s="29">
        <f t="shared" si="289"/>
        <v>0</v>
      </c>
      <c r="AC156" s="72"/>
      <c r="AD156" s="72"/>
      <c r="AE156" s="72"/>
      <c r="AF156" s="72"/>
      <c r="AG156" s="72"/>
      <c r="AH156" s="85">
        <f>AA156</f>
        <v>0</v>
      </c>
      <c r="AI156" s="85"/>
      <c r="AJ156" s="85">
        <f t="shared" si="290"/>
        <v>0</v>
      </c>
      <c r="AK156" s="86"/>
      <c r="AL156" s="133"/>
      <c r="AM156" s="27">
        <f t="shared" si="240"/>
        <v>0</v>
      </c>
      <c r="AN156" s="61">
        <f t="shared" si="241"/>
        <v>0</v>
      </c>
      <c r="AO156" s="62">
        <f t="shared" si="242"/>
        <v>0</v>
      </c>
      <c r="AQ156" s="85"/>
      <c r="AR156" s="85"/>
      <c r="AS156" s="85"/>
      <c r="AT156" s="154">
        <f t="shared" si="299"/>
        <v>0</v>
      </c>
      <c r="AU156" s="133"/>
      <c r="AV156" s="133"/>
      <c r="AW156" s="133">
        <f t="shared" si="291"/>
        <v>0</v>
      </c>
      <c r="AX156" s="76">
        <f t="shared" si="292"/>
        <v>0</v>
      </c>
      <c r="AY156" s="76">
        <f t="shared" si="293"/>
        <v>0</v>
      </c>
      <c r="BE156" s="133"/>
      <c r="BF156" s="133"/>
      <c r="BG156" s="78">
        <f t="shared" si="294"/>
        <v>0</v>
      </c>
      <c r="BH156" s="71">
        <f t="shared" si="300"/>
        <v>0</v>
      </c>
      <c r="BI156" s="33">
        <f t="shared" si="295"/>
        <v>0</v>
      </c>
      <c r="BJ156" s="33">
        <f t="shared" si="296"/>
        <v>0</v>
      </c>
      <c r="BK156" s="71"/>
      <c r="BL156" s="79">
        <f t="shared" si="297"/>
        <v>0</v>
      </c>
      <c r="BM156" s="79">
        <f t="shared" si="298"/>
        <v>0</v>
      </c>
      <c r="BN156" s="32"/>
      <c r="BO156" s="32"/>
      <c r="BP156" s="71"/>
      <c r="BQ156" s="32">
        <f t="shared" si="243"/>
        <v>0</v>
      </c>
      <c r="BR156" s="32">
        <f t="shared" si="244"/>
        <v>0</v>
      </c>
      <c r="BS156" s="32"/>
      <c r="BT156" s="32"/>
      <c r="BU156" s="33"/>
      <c r="BV156" s="34">
        <f t="shared" si="245"/>
        <v>0</v>
      </c>
      <c r="BY156" s="82"/>
      <c r="BZ156" s="82"/>
      <c r="CC156" s="37"/>
      <c r="CD156" s="71"/>
    </row>
    <row r="157" spans="1:82" s="77" customFormat="1" ht="18" customHeight="1" x14ac:dyDescent="0.25">
      <c r="A157" s="99" t="s">
        <v>58</v>
      </c>
      <c r="B157" s="100"/>
      <c r="C157" s="101"/>
      <c r="D157" s="93"/>
      <c r="E157" s="98"/>
      <c r="F157" s="121" t="s">
        <v>463</v>
      </c>
      <c r="G157" s="106">
        <v>25100</v>
      </c>
      <c r="H157" s="106">
        <v>21500</v>
      </c>
      <c r="I157" s="106">
        <v>25100</v>
      </c>
      <c r="J157" s="70"/>
      <c r="K157" s="106">
        <v>20786.22</v>
      </c>
      <c r="L157" s="106">
        <v>10310.06</v>
      </c>
      <c r="M157" s="106">
        <f t="shared" si="282"/>
        <v>10310.06</v>
      </c>
      <c r="N157" s="106">
        <f t="shared" si="283"/>
        <v>20620.12</v>
      </c>
      <c r="O157" s="106">
        <f>N157</f>
        <v>20620.12</v>
      </c>
      <c r="P157" s="106">
        <f t="shared" si="284"/>
        <v>-4479.880000000001</v>
      </c>
      <c r="Q157" s="106">
        <f>13584.83+1694.18</f>
        <v>15279.01</v>
      </c>
      <c r="R157" s="106"/>
      <c r="S157" s="106">
        <f>Q157+(2*26*(17+30+31)*1.22)+(4*24*1.22*12)</f>
        <v>21632.77</v>
      </c>
      <c r="T157" s="106">
        <f t="shared" si="285"/>
        <v>-3467.2299999999996</v>
      </c>
      <c r="U157" s="107">
        <f t="shared" si="286"/>
        <v>846.54999999999927</v>
      </c>
      <c r="V157" s="106">
        <f t="shared" si="287"/>
        <v>1012.6500000000015</v>
      </c>
      <c r="W157" s="108"/>
      <c r="X157" s="109">
        <f>(32825-14625.36)/11*12</f>
        <v>19854.152727272725</v>
      </c>
      <c r="Y157" s="24">
        <f t="shared" si="233"/>
        <v>-1778.6172727272751</v>
      </c>
      <c r="Z157" s="85">
        <v>25026</v>
      </c>
      <c r="AA157" s="29">
        <f t="shared" si="288"/>
        <v>-74</v>
      </c>
      <c r="AB157" s="29">
        <f t="shared" si="289"/>
        <v>3393.2299999999996</v>
      </c>
      <c r="AC157" s="72"/>
      <c r="AD157" s="72"/>
      <c r="AE157" s="72"/>
      <c r="AF157" s="72"/>
      <c r="AG157" s="72"/>
      <c r="AH157" s="85">
        <f>20513*122%</f>
        <v>25025.86</v>
      </c>
      <c r="AI157" s="85">
        <f>Z157</f>
        <v>25026</v>
      </c>
      <c r="AJ157" s="85">
        <f t="shared" si="290"/>
        <v>-0.13999999999941792</v>
      </c>
      <c r="AK157" s="86">
        <v>25026</v>
      </c>
      <c r="AL157" s="123">
        <f>18467.89/11*12</f>
        <v>20146.789090909089</v>
      </c>
      <c r="AM157" s="27">
        <f t="shared" si="240"/>
        <v>-4879.2109090909107</v>
      </c>
      <c r="AN157" s="61">
        <f t="shared" si="241"/>
        <v>-4879.2109090909107</v>
      </c>
      <c r="AO157" s="62">
        <f t="shared" si="242"/>
        <v>0</v>
      </c>
      <c r="AQ157" s="90" t="s">
        <v>464</v>
      </c>
      <c r="AR157" s="90" t="s">
        <v>465</v>
      </c>
      <c r="AS157" s="90" t="s">
        <v>464</v>
      </c>
      <c r="AT157" s="86">
        <f>Z157</f>
        <v>25026</v>
      </c>
      <c r="AU157" s="71">
        <v>20405.47</v>
      </c>
      <c r="AV157" s="71">
        <f>CEILING(AT157,100)</f>
        <v>25100</v>
      </c>
      <c r="AW157" s="71">
        <f t="shared" si="291"/>
        <v>74</v>
      </c>
      <c r="AX157" s="76">
        <f t="shared" si="292"/>
        <v>0</v>
      </c>
      <c r="AY157" s="76">
        <f t="shared" si="293"/>
        <v>4879.2109090909107</v>
      </c>
      <c r="AZ157" s="77" t="s">
        <v>466</v>
      </c>
      <c r="BE157" s="71">
        <v>25100</v>
      </c>
      <c r="BF157" s="71">
        <f>11182.61*2</f>
        <v>22365.22</v>
      </c>
      <c r="BG157" s="78">
        <f t="shared" si="294"/>
        <v>0</v>
      </c>
      <c r="BH157" s="71">
        <f t="shared" si="300"/>
        <v>22365.22</v>
      </c>
      <c r="BI157" s="33">
        <f t="shared" si="295"/>
        <v>-2734.7799999999988</v>
      </c>
      <c r="BJ157" s="33">
        <f t="shared" si="296"/>
        <v>1959.75</v>
      </c>
      <c r="BK157" s="71">
        <v>22584.780000000002</v>
      </c>
      <c r="BL157" s="79">
        <f t="shared" si="297"/>
        <v>219.56000000000131</v>
      </c>
      <c r="BM157" s="79">
        <f t="shared" si="298"/>
        <v>-2515.2199999999975</v>
      </c>
      <c r="BN157" s="87" t="s">
        <v>467</v>
      </c>
      <c r="BO157" s="91" t="s">
        <v>468</v>
      </c>
      <c r="BP157" s="71">
        <v>22590.959999999999</v>
      </c>
      <c r="BQ157" s="32">
        <f t="shared" si="243"/>
        <v>6.1799999999966531</v>
      </c>
      <c r="BR157" s="32">
        <f t="shared" si="244"/>
        <v>-2509.0400000000009</v>
      </c>
      <c r="BS157" s="92"/>
      <c r="BT157" s="87" t="s">
        <v>467</v>
      </c>
      <c r="BU157" s="33"/>
      <c r="BV157" s="34">
        <f t="shared" si="245"/>
        <v>-2734.7799999999988</v>
      </c>
      <c r="BY157" s="82"/>
      <c r="BZ157" s="82"/>
      <c r="CC157" s="37"/>
      <c r="CD157" s="71">
        <v>20405.47</v>
      </c>
    </row>
    <row r="158" spans="1:82" s="35" customFormat="1" ht="18" customHeight="1" x14ac:dyDescent="0.25">
      <c r="A158" s="38" t="s">
        <v>58</v>
      </c>
      <c r="B158" s="39"/>
      <c r="C158" s="93"/>
      <c r="D158" s="93" t="s">
        <v>469</v>
      </c>
      <c r="E158" s="103"/>
      <c r="F158" s="104"/>
      <c r="G158" s="46">
        <v>219000</v>
      </c>
      <c r="H158" s="46">
        <v>181400</v>
      </c>
      <c r="I158" s="46">
        <f t="shared" ref="I158:Q158" si="301">I159</f>
        <v>196600</v>
      </c>
      <c r="J158" s="46">
        <f t="shared" si="301"/>
        <v>0</v>
      </c>
      <c r="K158" s="46">
        <f t="shared" si="301"/>
        <v>189628.27000000002</v>
      </c>
      <c r="L158" s="46">
        <f t="shared" si="301"/>
        <v>86087.47</v>
      </c>
      <c r="M158" s="46">
        <f t="shared" si="301"/>
        <v>98071.06</v>
      </c>
      <c r="N158" s="46">
        <f t="shared" si="301"/>
        <v>185695.9</v>
      </c>
      <c r="O158" s="46">
        <f t="shared" si="301"/>
        <v>185995.9</v>
      </c>
      <c r="P158" s="46">
        <f t="shared" si="301"/>
        <v>-10904.100000000002</v>
      </c>
      <c r="Q158" s="46">
        <f t="shared" si="301"/>
        <v>112677.45000000001</v>
      </c>
      <c r="R158" s="46"/>
      <c r="S158" s="46">
        <f>S159</f>
        <v>191527.68333333335</v>
      </c>
      <c r="T158" s="46">
        <f>T159</f>
        <v>-5072.3166666666666</v>
      </c>
      <c r="U158" s="46">
        <f>U159</f>
        <v>1899.413333333323</v>
      </c>
      <c r="V158" s="46">
        <f>V159</f>
        <v>5531.7833333333347</v>
      </c>
      <c r="W158" s="47"/>
      <c r="X158" s="23">
        <f>X159</f>
        <v>191514.32515151516</v>
      </c>
      <c r="Y158" s="24">
        <f t="shared" si="233"/>
        <v>-13.358181818184676</v>
      </c>
      <c r="Z158" s="48">
        <f t="shared" ref="Z158:AL158" si="302">Z159</f>
        <v>201438</v>
      </c>
      <c r="AA158" s="48">
        <f t="shared" si="302"/>
        <v>4838</v>
      </c>
      <c r="AB158" s="48">
        <f t="shared" si="302"/>
        <v>9910.3166666666657</v>
      </c>
      <c r="AC158" s="48">
        <f t="shared" si="302"/>
        <v>0</v>
      </c>
      <c r="AD158" s="48">
        <f t="shared" si="302"/>
        <v>42250.579999999994</v>
      </c>
      <c r="AE158" s="48">
        <f t="shared" si="302"/>
        <v>0</v>
      </c>
      <c r="AF158" s="48">
        <f t="shared" si="302"/>
        <v>0</v>
      </c>
      <c r="AG158" s="48">
        <f t="shared" si="302"/>
        <v>0</v>
      </c>
      <c r="AH158" s="48">
        <f t="shared" si="302"/>
        <v>201438</v>
      </c>
      <c r="AI158" s="48">
        <f t="shared" si="302"/>
        <v>201566.38714285713</v>
      </c>
      <c r="AJ158" s="48">
        <f t="shared" si="302"/>
        <v>0</v>
      </c>
      <c r="AK158" s="49">
        <f t="shared" si="302"/>
        <v>200947.41333333333</v>
      </c>
      <c r="AL158" s="48">
        <f t="shared" si="302"/>
        <v>174713.15837081458</v>
      </c>
      <c r="AM158" s="27">
        <f t="shared" si="240"/>
        <v>-26853.228772042552</v>
      </c>
      <c r="AN158" s="28">
        <f t="shared" si="241"/>
        <v>-26724.841629185423</v>
      </c>
      <c r="AO158" s="50">
        <f t="shared" si="242"/>
        <v>128.38714285712922</v>
      </c>
      <c r="AQ158" s="48"/>
      <c r="AR158" s="48"/>
      <c r="AS158" s="48"/>
      <c r="AT158" s="49">
        <f t="shared" ref="AT158:BP158" si="303">AT159</f>
        <v>184468.46798334329</v>
      </c>
      <c r="AU158" s="48">
        <f t="shared" si="303"/>
        <v>175174.03</v>
      </c>
      <c r="AV158" s="48">
        <f t="shared" si="303"/>
        <v>184900</v>
      </c>
      <c r="AW158" s="48">
        <f t="shared" si="303"/>
        <v>-16538</v>
      </c>
      <c r="AX158" s="48">
        <f t="shared" si="303"/>
        <v>-16969.532016656685</v>
      </c>
      <c r="AY158" s="48">
        <f t="shared" si="303"/>
        <v>9755.3096125287248</v>
      </c>
      <c r="AZ158" s="48">
        <f t="shared" si="303"/>
        <v>0</v>
      </c>
      <c r="BA158" s="48">
        <f t="shared" si="303"/>
        <v>0</v>
      </c>
      <c r="BB158" s="48">
        <f t="shared" si="303"/>
        <v>0</v>
      </c>
      <c r="BC158" s="48">
        <f t="shared" si="303"/>
        <v>0</v>
      </c>
      <c r="BD158" s="48">
        <f t="shared" si="303"/>
        <v>0</v>
      </c>
      <c r="BE158" s="48">
        <f t="shared" si="303"/>
        <v>184900</v>
      </c>
      <c r="BF158" s="48">
        <f t="shared" si="303"/>
        <v>229197.55285714287</v>
      </c>
      <c r="BG158" s="48">
        <f t="shared" si="303"/>
        <v>0</v>
      </c>
      <c r="BH158" s="48">
        <f t="shared" si="303"/>
        <v>232281.31285714285</v>
      </c>
      <c r="BI158" s="48">
        <f t="shared" si="303"/>
        <v>44297.552857142859</v>
      </c>
      <c r="BJ158" s="48">
        <f t="shared" si="303"/>
        <v>54023.52285714286</v>
      </c>
      <c r="BK158" s="48">
        <f t="shared" si="303"/>
        <v>244279.13999999996</v>
      </c>
      <c r="BL158" s="48">
        <f t="shared" si="303"/>
        <v>11997.827142857102</v>
      </c>
      <c r="BM158" s="48">
        <f t="shared" si="303"/>
        <v>59379.139999999963</v>
      </c>
      <c r="BN158" s="48">
        <f t="shared" si="303"/>
        <v>0</v>
      </c>
      <c r="BO158" s="48">
        <f t="shared" si="303"/>
        <v>0</v>
      </c>
      <c r="BP158" s="48">
        <f t="shared" si="303"/>
        <v>243250.87</v>
      </c>
      <c r="BQ158" s="32">
        <f t="shared" si="243"/>
        <v>-1028.2699999999604</v>
      </c>
      <c r="BR158" s="32">
        <f t="shared" si="244"/>
        <v>58350.869999999995</v>
      </c>
      <c r="BS158" s="32"/>
      <c r="BT158" s="32"/>
      <c r="BU158" s="33"/>
      <c r="BV158" s="34">
        <f t="shared" si="245"/>
        <v>47381.312857142853</v>
      </c>
      <c r="BY158" s="36"/>
      <c r="BZ158" s="36"/>
      <c r="CC158" s="37"/>
      <c r="CD158" s="48">
        <f>CD159</f>
        <v>175174.03</v>
      </c>
    </row>
    <row r="159" spans="1:82" s="63" customFormat="1" ht="18" customHeight="1" x14ac:dyDescent="0.25">
      <c r="A159" s="96" t="s">
        <v>58</v>
      </c>
      <c r="B159" s="97"/>
      <c r="C159" s="98"/>
      <c r="D159" s="103"/>
      <c r="E159" s="98" t="s">
        <v>469</v>
      </c>
      <c r="F159" s="105"/>
      <c r="G159" s="55">
        <v>219000</v>
      </c>
      <c r="H159" s="55">
        <v>181400</v>
      </c>
      <c r="I159" s="55">
        <f t="shared" ref="I159:Q159" si="304">SUM(I160:I168)</f>
        <v>196600</v>
      </c>
      <c r="J159" s="55">
        <f t="shared" si="304"/>
        <v>0</v>
      </c>
      <c r="K159" s="55">
        <f t="shared" si="304"/>
        <v>189628.27000000002</v>
      </c>
      <c r="L159" s="55">
        <f t="shared" si="304"/>
        <v>86087.47</v>
      </c>
      <c r="M159" s="55">
        <f t="shared" si="304"/>
        <v>98071.06</v>
      </c>
      <c r="N159" s="55">
        <f t="shared" si="304"/>
        <v>185695.9</v>
      </c>
      <c r="O159" s="55">
        <f t="shared" si="304"/>
        <v>185995.9</v>
      </c>
      <c r="P159" s="55">
        <f t="shared" si="304"/>
        <v>-10904.100000000002</v>
      </c>
      <c r="Q159" s="55">
        <f t="shared" si="304"/>
        <v>112677.45000000001</v>
      </c>
      <c r="R159" s="55"/>
      <c r="S159" s="55">
        <f>SUM(S160:S168)</f>
        <v>191527.68333333335</v>
      </c>
      <c r="T159" s="55">
        <f>SUM(T160:T168)</f>
        <v>-5072.3166666666666</v>
      </c>
      <c r="U159" s="55">
        <f>SUM(U160:U168)</f>
        <v>1899.413333333323</v>
      </c>
      <c r="V159" s="55">
        <f>SUM(V160:V168)</f>
        <v>5531.7833333333347</v>
      </c>
      <c r="W159" s="57"/>
      <c r="X159" s="58">
        <f>SUM(X160:X168)</f>
        <v>191514.32515151516</v>
      </c>
      <c r="Y159" s="59">
        <f t="shared" si="233"/>
        <v>-13.358181818184676</v>
      </c>
      <c r="Z159" s="33">
        <f t="shared" ref="Z159:AL159" si="305">SUM(Z160:Z168)</f>
        <v>201438</v>
      </c>
      <c r="AA159" s="33">
        <f t="shared" si="305"/>
        <v>4838</v>
      </c>
      <c r="AB159" s="33">
        <f t="shared" si="305"/>
        <v>9910.3166666666657</v>
      </c>
      <c r="AC159" s="33">
        <f t="shared" si="305"/>
        <v>0</v>
      </c>
      <c r="AD159" s="33">
        <f t="shared" si="305"/>
        <v>42250.579999999994</v>
      </c>
      <c r="AE159" s="33">
        <f t="shared" si="305"/>
        <v>0</v>
      </c>
      <c r="AF159" s="33">
        <f t="shared" si="305"/>
        <v>0</v>
      </c>
      <c r="AG159" s="33">
        <f t="shared" si="305"/>
        <v>0</v>
      </c>
      <c r="AH159" s="33">
        <f t="shared" si="305"/>
        <v>201438</v>
      </c>
      <c r="AI159" s="33">
        <f t="shared" si="305"/>
        <v>201566.38714285713</v>
      </c>
      <c r="AJ159" s="33">
        <f t="shared" si="305"/>
        <v>0</v>
      </c>
      <c r="AK159" s="60">
        <f t="shared" si="305"/>
        <v>200947.41333333333</v>
      </c>
      <c r="AL159" s="33">
        <f t="shared" si="305"/>
        <v>174713.15837081458</v>
      </c>
      <c r="AM159" s="27">
        <f t="shared" si="240"/>
        <v>-26853.228772042552</v>
      </c>
      <c r="AN159" s="61">
        <f t="shared" si="241"/>
        <v>-26724.841629185423</v>
      </c>
      <c r="AO159" s="62">
        <f t="shared" si="242"/>
        <v>128.38714285712922</v>
      </c>
      <c r="AQ159" s="33"/>
      <c r="AR159" s="33"/>
      <c r="AS159" s="33"/>
      <c r="AT159" s="60">
        <f t="shared" ref="AT159:BP159" si="306">SUM(AT160:AT168)</f>
        <v>184468.46798334329</v>
      </c>
      <c r="AU159" s="33">
        <f t="shared" si="306"/>
        <v>175174.03</v>
      </c>
      <c r="AV159" s="33">
        <f t="shared" si="306"/>
        <v>184900</v>
      </c>
      <c r="AW159" s="33">
        <f t="shared" si="306"/>
        <v>-16538</v>
      </c>
      <c r="AX159" s="33">
        <f t="shared" si="306"/>
        <v>-16969.532016656685</v>
      </c>
      <c r="AY159" s="33">
        <f t="shared" si="306"/>
        <v>9755.3096125287248</v>
      </c>
      <c r="AZ159" s="33">
        <f t="shared" si="306"/>
        <v>0</v>
      </c>
      <c r="BA159" s="33">
        <f t="shared" si="306"/>
        <v>0</v>
      </c>
      <c r="BB159" s="33">
        <f t="shared" si="306"/>
        <v>0</v>
      </c>
      <c r="BC159" s="33">
        <f t="shared" si="306"/>
        <v>0</v>
      </c>
      <c r="BD159" s="33">
        <f t="shared" si="306"/>
        <v>0</v>
      </c>
      <c r="BE159" s="33">
        <f t="shared" si="306"/>
        <v>184900</v>
      </c>
      <c r="BF159" s="33">
        <f t="shared" si="306"/>
        <v>229197.55285714287</v>
      </c>
      <c r="BG159" s="33">
        <f t="shared" si="306"/>
        <v>0</v>
      </c>
      <c r="BH159" s="33">
        <f t="shared" si="306"/>
        <v>232281.31285714285</v>
      </c>
      <c r="BI159" s="33">
        <f t="shared" si="306"/>
        <v>44297.552857142859</v>
      </c>
      <c r="BJ159" s="33">
        <f t="shared" si="306"/>
        <v>54023.52285714286</v>
      </c>
      <c r="BK159" s="33">
        <f t="shared" si="306"/>
        <v>244279.13999999996</v>
      </c>
      <c r="BL159" s="33">
        <f t="shared" si="306"/>
        <v>11997.827142857102</v>
      </c>
      <c r="BM159" s="33">
        <f t="shared" si="306"/>
        <v>59379.139999999963</v>
      </c>
      <c r="BN159" s="33">
        <f t="shared" si="306"/>
        <v>0</v>
      </c>
      <c r="BO159" s="33">
        <f t="shared" si="306"/>
        <v>0</v>
      </c>
      <c r="BP159" s="33">
        <f t="shared" si="306"/>
        <v>243250.87</v>
      </c>
      <c r="BQ159" s="32">
        <f t="shared" si="243"/>
        <v>-1028.2699999999604</v>
      </c>
      <c r="BR159" s="32">
        <f t="shared" si="244"/>
        <v>58350.869999999995</v>
      </c>
      <c r="BS159" s="32"/>
      <c r="BT159" s="32"/>
      <c r="BU159" s="33"/>
      <c r="BV159" s="34">
        <f t="shared" si="245"/>
        <v>47381.312857142853</v>
      </c>
      <c r="BY159" s="64"/>
      <c r="BZ159" s="64"/>
      <c r="CC159" s="37"/>
      <c r="CD159" s="33">
        <f>SUM(CD160:CD168)</f>
        <v>175174.03</v>
      </c>
    </row>
    <row r="160" spans="1:82" s="77" customFormat="1" ht="18" customHeight="1" x14ac:dyDescent="0.25">
      <c r="A160" s="99" t="s">
        <v>58</v>
      </c>
      <c r="B160" s="100"/>
      <c r="C160" s="101"/>
      <c r="D160" s="93"/>
      <c r="E160" s="98"/>
      <c r="F160" s="121" t="s">
        <v>470</v>
      </c>
      <c r="G160" s="106">
        <v>6000</v>
      </c>
      <c r="H160" s="106">
        <v>1600</v>
      </c>
      <c r="I160" s="106">
        <v>2000</v>
      </c>
      <c r="J160" s="70"/>
      <c r="K160" s="106">
        <v>1783.2</v>
      </c>
      <c r="L160" s="106"/>
      <c r="M160" s="106">
        <v>1000</v>
      </c>
      <c r="N160" s="106">
        <v>2000</v>
      </c>
      <c r="O160" s="106">
        <v>2000</v>
      </c>
      <c r="P160" s="106">
        <f t="shared" ref="P160:P168" si="307">N160-I160</f>
        <v>0</v>
      </c>
      <c r="Q160" s="106">
        <v>262</v>
      </c>
      <c r="R160" s="106"/>
      <c r="S160" s="106">
        <f>I160</f>
        <v>2000</v>
      </c>
      <c r="T160" s="106">
        <f t="shared" ref="T160:T168" si="308">S160-I160</f>
        <v>0</v>
      </c>
      <c r="U160" s="107">
        <f t="shared" ref="U160:U168" si="309">S160-K160</f>
        <v>216.79999999999995</v>
      </c>
      <c r="V160" s="106">
        <f t="shared" ref="V160:V168" si="310">S160-O160</f>
        <v>0</v>
      </c>
      <c r="W160" s="108"/>
      <c r="X160" s="109">
        <f>262/11*12</f>
        <v>285.81818181818181</v>
      </c>
      <c r="Y160" s="24">
        <f t="shared" si="233"/>
        <v>-1714.1818181818182</v>
      </c>
      <c r="Z160" s="85">
        <v>303</v>
      </c>
      <c r="AA160" s="29">
        <f t="shared" ref="AA160:AA168" si="311">Z160-I160</f>
        <v>-1697</v>
      </c>
      <c r="AB160" s="29">
        <f t="shared" ref="AB160:AB168" si="312">Z160-S160</f>
        <v>-1697</v>
      </c>
      <c r="AC160" s="72" t="s">
        <v>309</v>
      </c>
      <c r="AD160" s="72"/>
      <c r="AE160" s="72"/>
      <c r="AF160" s="72"/>
      <c r="AG160" s="72"/>
      <c r="AH160" s="85">
        <f t="shared" ref="AH160:AH168" si="313">Z160</f>
        <v>303</v>
      </c>
      <c r="AI160" s="85">
        <f>870/7*12</f>
        <v>1491.4285714285716</v>
      </c>
      <c r="AJ160" s="85">
        <f t="shared" ref="AJ160:AJ168" si="314">AH160-Z160</f>
        <v>0</v>
      </c>
      <c r="AK160" s="86">
        <v>1165.3333333333335</v>
      </c>
      <c r="AL160" s="123">
        <f>1352/11*12</f>
        <v>1474.909090909091</v>
      </c>
      <c r="AM160" s="27">
        <f t="shared" si="240"/>
        <v>-16.519480519480567</v>
      </c>
      <c r="AN160" s="61">
        <f t="shared" si="241"/>
        <v>1171.909090909091</v>
      </c>
      <c r="AO160" s="62">
        <f t="shared" si="242"/>
        <v>1188.4285714285716</v>
      </c>
      <c r="AQ160" s="90" t="s">
        <v>471</v>
      </c>
      <c r="AR160" s="90" t="s">
        <v>472</v>
      </c>
      <c r="AS160" s="90" t="s">
        <v>471</v>
      </c>
      <c r="AT160" s="86">
        <f>AL160*102.3%</f>
        <v>1508.8319999999999</v>
      </c>
      <c r="AU160" s="71">
        <v>1352</v>
      </c>
      <c r="AV160" s="71">
        <f t="shared" ref="AV160:AV168" si="315">CEILING(AT160,100)</f>
        <v>1600</v>
      </c>
      <c r="AW160" s="71">
        <f t="shared" ref="AW160:AW168" si="316">AV160-Z160</f>
        <v>1297</v>
      </c>
      <c r="AX160" s="76">
        <f t="shared" ref="AX160:AX168" si="317">AT160-Z160</f>
        <v>1205.8319999999999</v>
      </c>
      <c r="AY160" s="76">
        <f t="shared" ref="AY160:AY168" si="318">AT160-AL160</f>
        <v>33.922909090908888</v>
      </c>
      <c r="AZ160" s="145" t="s">
        <v>300</v>
      </c>
      <c r="BE160" s="71">
        <v>1600</v>
      </c>
      <c r="BF160" s="71">
        <f>4510+7948.68+2000</f>
        <v>14458.68</v>
      </c>
      <c r="BG160" s="78">
        <f t="shared" ref="BG160:BG168" si="319">BE160-AV160</f>
        <v>0</v>
      </c>
      <c r="BH160" s="71">
        <v>14848.919999999998</v>
      </c>
      <c r="BI160" s="33">
        <f t="shared" ref="BI160:BI168" si="320">BF160-AV160</f>
        <v>12858.68</v>
      </c>
      <c r="BJ160" s="33">
        <f t="shared" ref="BJ160:BJ168" si="321">BF160-AU160</f>
        <v>13106.68</v>
      </c>
      <c r="BK160" s="71">
        <v>16330.330000000002</v>
      </c>
      <c r="BL160" s="79">
        <f t="shared" ref="BL160:BL168" si="322">BK160-BH160</f>
        <v>1481.4100000000035</v>
      </c>
      <c r="BM160" s="79">
        <f t="shared" ref="BM160:BM168" si="323">BK160-AV160</f>
        <v>14730.330000000002</v>
      </c>
      <c r="BN160" s="87" t="s">
        <v>473</v>
      </c>
      <c r="BO160" s="87" t="s">
        <v>286</v>
      </c>
      <c r="BP160" s="71">
        <v>16330.33</v>
      </c>
      <c r="BQ160" s="32">
        <f t="shared" si="243"/>
        <v>0</v>
      </c>
      <c r="BR160" s="32">
        <f t="shared" si="244"/>
        <v>14730.33</v>
      </c>
      <c r="BS160" s="32"/>
      <c r="BT160" s="87" t="s">
        <v>474</v>
      </c>
      <c r="BU160" s="33"/>
      <c r="BV160" s="34">
        <f t="shared" si="245"/>
        <v>13248.919999999998</v>
      </c>
      <c r="BW160" s="155">
        <v>14848.919999999998</v>
      </c>
      <c r="BY160" s="82"/>
      <c r="BZ160" s="82"/>
      <c r="CC160" s="37"/>
      <c r="CD160" s="71">
        <v>1352</v>
      </c>
    </row>
    <row r="161" spans="1:82" s="77" customFormat="1" ht="18" customHeight="1" x14ac:dyDescent="0.25">
      <c r="A161" s="99" t="s">
        <v>58</v>
      </c>
      <c r="B161" s="100"/>
      <c r="C161" s="101"/>
      <c r="D161" s="93"/>
      <c r="E161" s="98"/>
      <c r="F161" s="121" t="s">
        <v>475</v>
      </c>
      <c r="G161" s="106">
        <v>14700</v>
      </c>
      <c r="H161" s="106">
        <v>14700</v>
      </c>
      <c r="I161" s="106">
        <v>15000</v>
      </c>
      <c r="J161" s="70" t="s">
        <v>476</v>
      </c>
      <c r="K161" s="106">
        <v>15934.67</v>
      </c>
      <c r="L161" s="106">
        <v>16.41</v>
      </c>
      <c r="M161" s="106">
        <v>7500</v>
      </c>
      <c r="N161" s="106">
        <f>M161*2</f>
        <v>15000</v>
      </c>
      <c r="O161" s="106">
        <v>15000</v>
      </c>
      <c r="P161" s="106">
        <f t="shared" si="307"/>
        <v>0</v>
      </c>
      <c r="Q161" s="106">
        <v>1491.31</v>
      </c>
      <c r="R161" s="106"/>
      <c r="S161" s="106">
        <f>Q161+15000+600</f>
        <v>17091.310000000001</v>
      </c>
      <c r="T161" s="106">
        <f t="shared" si="308"/>
        <v>2091.3100000000013</v>
      </c>
      <c r="U161" s="107">
        <f t="shared" si="309"/>
        <v>1156.6400000000012</v>
      </c>
      <c r="V161" s="106">
        <f t="shared" si="310"/>
        <v>2091.3100000000013</v>
      </c>
      <c r="W161" s="108" t="s">
        <v>477</v>
      </c>
      <c r="X161" s="109">
        <f>1500.21+14625.36+(1708/6*2)</f>
        <v>16694.903333333332</v>
      </c>
      <c r="Y161" s="24">
        <f t="shared" si="233"/>
        <v>-396.40666666666948</v>
      </c>
      <c r="Z161" s="85">
        <v>14457</v>
      </c>
      <c r="AA161" s="29">
        <f t="shared" si="311"/>
        <v>-543</v>
      </c>
      <c r="AB161" s="29">
        <f t="shared" si="312"/>
        <v>-2634.3100000000013</v>
      </c>
      <c r="AC161" s="72"/>
      <c r="AD161" s="72">
        <f>Z157+Z161</f>
        <v>39483</v>
      </c>
      <c r="AE161" s="72"/>
      <c r="AF161" s="72"/>
      <c r="AG161" s="72"/>
      <c r="AH161" s="85">
        <f t="shared" si="313"/>
        <v>14457</v>
      </c>
      <c r="AI161" s="85">
        <f>((1261.26-1220)/7*12)+1220+14457</f>
        <v>15747.731428571429</v>
      </c>
      <c r="AJ161" s="85">
        <f t="shared" si="314"/>
        <v>0</v>
      </c>
      <c r="AK161" s="86">
        <v>17566.893333333333</v>
      </c>
      <c r="AL161" s="123">
        <f>((3096.14-1220-1834.88)/11*12)+1220+14457+1834.88</f>
        <v>17556.890909090907</v>
      </c>
      <c r="AM161" s="27">
        <f t="shared" si="240"/>
        <v>1809.1594805194782</v>
      </c>
      <c r="AN161" s="61">
        <f t="shared" si="241"/>
        <v>3099.8909090909074</v>
      </c>
      <c r="AO161" s="62">
        <f t="shared" si="242"/>
        <v>1290.7314285714292</v>
      </c>
      <c r="AQ161" s="85" t="s">
        <v>478</v>
      </c>
      <c r="AR161" s="85" t="s">
        <v>479</v>
      </c>
      <c r="AS161" s="85" t="s">
        <v>478</v>
      </c>
      <c r="AT161" s="86">
        <f>((AL161-15817.3)*102.3%)+15817.3</f>
        <v>17596.9015</v>
      </c>
      <c r="AU161" s="71">
        <v>17553.14</v>
      </c>
      <c r="AV161" s="71">
        <f t="shared" si="315"/>
        <v>17600</v>
      </c>
      <c r="AW161" s="71">
        <f t="shared" si="316"/>
        <v>3143</v>
      </c>
      <c r="AX161" s="76">
        <f t="shared" si="317"/>
        <v>3139.9014999999999</v>
      </c>
      <c r="AY161" s="76">
        <f t="shared" si="318"/>
        <v>40.010590909092571</v>
      </c>
      <c r="AZ161" s="77" t="s">
        <v>480</v>
      </c>
      <c r="BE161" s="71">
        <v>17600</v>
      </c>
      <c r="BF161" s="71">
        <f>((8274.65-793)*2)+793</f>
        <v>15756.3</v>
      </c>
      <c r="BG161" s="78">
        <f t="shared" si="319"/>
        <v>0</v>
      </c>
      <c r="BH161" s="71">
        <f>BF161</f>
        <v>15756.3</v>
      </c>
      <c r="BI161" s="33">
        <f t="shared" si="320"/>
        <v>-1843.7000000000007</v>
      </c>
      <c r="BJ161" s="33">
        <f t="shared" si="321"/>
        <v>-1796.8400000000001</v>
      </c>
      <c r="BK161" s="71">
        <v>16061.3</v>
      </c>
      <c r="BL161" s="79">
        <f t="shared" si="322"/>
        <v>305</v>
      </c>
      <c r="BM161" s="79">
        <f t="shared" si="323"/>
        <v>-1538.7000000000007</v>
      </c>
      <c r="BN161" s="32"/>
      <c r="BO161" s="32"/>
      <c r="BP161" s="71">
        <v>16167.75</v>
      </c>
      <c r="BQ161" s="32">
        <f t="shared" si="243"/>
        <v>106.45000000000073</v>
      </c>
      <c r="BR161" s="32">
        <f t="shared" si="244"/>
        <v>-1432.25</v>
      </c>
      <c r="BS161" s="32"/>
      <c r="BT161" s="32"/>
      <c r="BU161" s="33"/>
      <c r="BV161" s="34">
        <f t="shared" si="245"/>
        <v>-1843.7000000000007</v>
      </c>
      <c r="BY161" s="82"/>
      <c r="BZ161" s="82"/>
      <c r="CC161" s="37"/>
      <c r="CD161" s="71">
        <v>17553.14</v>
      </c>
    </row>
    <row r="162" spans="1:82" s="77" customFormat="1" ht="18" customHeight="1" x14ac:dyDescent="0.25">
      <c r="A162" s="99" t="s">
        <v>58</v>
      </c>
      <c r="B162" s="100"/>
      <c r="C162" s="101"/>
      <c r="D162" s="93"/>
      <c r="E162" s="98"/>
      <c r="F162" s="121" t="s">
        <v>481</v>
      </c>
      <c r="G162" s="106">
        <v>4000</v>
      </c>
      <c r="H162" s="106">
        <v>1200</v>
      </c>
      <c r="I162" s="106">
        <v>4000</v>
      </c>
      <c r="J162" s="70" t="s">
        <v>482</v>
      </c>
      <c r="K162" s="106">
        <v>1346.77</v>
      </c>
      <c r="L162" s="106">
        <v>1221.33</v>
      </c>
      <c r="M162" s="106">
        <f>L162</f>
        <v>1221.33</v>
      </c>
      <c r="N162" s="106">
        <f>M162*2</f>
        <v>2442.66</v>
      </c>
      <c r="O162" s="106">
        <f>N162</f>
        <v>2442.66</v>
      </c>
      <c r="P162" s="106">
        <f t="shared" si="307"/>
        <v>-1557.3400000000001</v>
      </c>
      <c r="Q162" s="106">
        <v>2536.1999999999998</v>
      </c>
      <c r="R162" s="106"/>
      <c r="S162" s="106">
        <f>Q162+600</f>
        <v>3136.2</v>
      </c>
      <c r="T162" s="106">
        <f t="shared" si="308"/>
        <v>-863.80000000000018</v>
      </c>
      <c r="U162" s="107">
        <f t="shared" si="309"/>
        <v>1789.4299999999998</v>
      </c>
      <c r="V162" s="106">
        <f t="shared" si="310"/>
        <v>693.54</v>
      </c>
      <c r="W162" s="108"/>
      <c r="X162" s="109">
        <f>(5020.14/11*12)+967.19</f>
        <v>6443.7063636363637</v>
      </c>
      <c r="Y162" s="24">
        <f t="shared" si="233"/>
        <v>3307.5063636363639</v>
      </c>
      <c r="Z162" s="85">
        <v>6830</v>
      </c>
      <c r="AA162" s="29">
        <f t="shared" si="311"/>
        <v>2830</v>
      </c>
      <c r="AB162" s="29">
        <f t="shared" si="312"/>
        <v>3693.8</v>
      </c>
      <c r="AC162" s="72" t="s">
        <v>309</v>
      </c>
      <c r="AD162" s="72"/>
      <c r="AE162" s="72"/>
      <c r="AF162" s="72"/>
      <c r="AG162" s="72"/>
      <c r="AH162" s="85">
        <f t="shared" si="313"/>
        <v>6830</v>
      </c>
      <c r="AI162" s="85">
        <f>(552.03+(350*1.22))*2+250+1000</f>
        <v>3208.06</v>
      </c>
      <c r="AJ162" s="85">
        <f t="shared" si="314"/>
        <v>0</v>
      </c>
      <c r="AK162" s="86">
        <v>2649.373333333333</v>
      </c>
      <c r="AL162" s="123">
        <f>(1473.09+(380*1.22)+486)/11.5*12</f>
        <v>2528.0243478260863</v>
      </c>
      <c r="AM162" s="27">
        <f t="shared" si="240"/>
        <v>-680.0356521739136</v>
      </c>
      <c r="AN162" s="61">
        <f t="shared" si="241"/>
        <v>-4301.9756521739137</v>
      </c>
      <c r="AO162" s="62">
        <f t="shared" si="242"/>
        <v>-3621.94</v>
      </c>
      <c r="AQ162" s="85" t="s">
        <v>483</v>
      </c>
      <c r="AR162" s="90" t="s">
        <v>256</v>
      </c>
      <c r="AS162" s="85" t="s">
        <v>483</v>
      </c>
      <c r="AT162" s="86">
        <f>AL162*102.3%</f>
        <v>2586.1689078260861</v>
      </c>
      <c r="AU162" s="71">
        <v>2446.84</v>
      </c>
      <c r="AV162" s="71">
        <f t="shared" si="315"/>
        <v>2600</v>
      </c>
      <c r="AW162" s="71">
        <f t="shared" si="316"/>
        <v>-4230</v>
      </c>
      <c r="AX162" s="76">
        <f t="shared" si="317"/>
        <v>-4243.8310921739139</v>
      </c>
      <c r="AY162" s="76">
        <f t="shared" si="318"/>
        <v>58.144559999999728</v>
      </c>
      <c r="AZ162" s="145" t="s">
        <v>300</v>
      </c>
      <c r="BE162" s="71">
        <v>2600</v>
      </c>
      <c r="BF162" s="71">
        <f>((4996.77-2429.67)/7*12)+2429.67+(917*1.22)</f>
        <v>7949.1528571428571</v>
      </c>
      <c r="BG162" s="78">
        <f t="shared" si="319"/>
        <v>0</v>
      </c>
      <c r="BH162" s="71">
        <f>BF162</f>
        <v>7949.1528571428571</v>
      </c>
      <c r="BI162" s="33">
        <f t="shared" si="320"/>
        <v>5349.1528571428571</v>
      </c>
      <c r="BJ162" s="33">
        <f t="shared" si="321"/>
        <v>5502.312857142857</v>
      </c>
      <c r="BK162" s="71">
        <v>11765.49</v>
      </c>
      <c r="BL162" s="79">
        <f t="shared" si="322"/>
        <v>3816.3371428571427</v>
      </c>
      <c r="BM162" s="79">
        <f t="shared" si="323"/>
        <v>9165.49</v>
      </c>
      <c r="BN162" s="91" t="s">
        <v>484</v>
      </c>
      <c r="BO162" s="91" t="s">
        <v>485</v>
      </c>
      <c r="BP162" s="71">
        <v>11949.22</v>
      </c>
      <c r="BQ162" s="32">
        <f t="shared" si="243"/>
        <v>183.72999999999956</v>
      </c>
      <c r="BR162" s="32">
        <f t="shared" si="244"/>
        <v>9349.2199999999993</v>
      </c>
      <c r="BS162" s="91" t="s">
        <v>486</v>
      </c>
      <c r="BT162" s="91" t="s">
        <v>484</v>
      </c>
      <c r="BU162" s="33"/>
      <c r="BV162" s="34">
        <f t="shared" si="245"/>
        <v>5349.1528571428571</v>
      </c>
      <c r="BY162" s="82"/>
      <c r="BZ162" s="82"/>
      <c r="CC162" s="37"/>
      <c r="CD162" s="71">
        <v>2446.84</v>
      </c>
    </row>
    <row r="163" spans="1:82" s="77" customFormat="1" ht="18" customHeight="1" x14ac:dyDescent="0.25">
      <c r="A163" s="99" t="s">
        <v>58</v>
      </c>
      <c r="B163" s="100"/>
      <c r="C163" s="101"/>
      <c r="D163" s="93"/>
      <c r="E163" s="98"/>
      <c r="F163" s="121" t="s">
        <v>487</v>
      </c>
      <c r="G163" s="106">
        <v>52900</v>
      </c>
      <c r="H163" s="106">
        <v>47000</v>
      </c>
      <c r="I163" s="106">
        <v>50000</v>
      </c>
      <c r="J163" s="70" t="s">
        <v>488</v>
      </c>
      <c r="K163" s="106">
        <v>45900.76</v>
      </c>
      <c r="L163" s="106">
        <v>26164.55</v>
      </c>
      <c r="M163" s="106">
        <f>L163</f>
        <v>26164.55</v>
      </c>
      <c r="N163" s="106">
        <f>M163*2</f>
        <v>52329.1</v>
      </c>
      <c r="O163" s="106">
        <f>N163</f>
        <v>52329.1</v>
      </c>
      <c r="P163" s="106">
        <f t="shared" si="307"/>
        <v>2329.0999999999985</v>
      </c>
      <c r="Q163" s="106">
        <f>42013.15-2928-82.35-658.8</f>
        <v>38344</v>
      </c>
      <c r="R163" s="106"/>
      <c r="S163" s="106">
        <f>Q163/9*12</f>
        <v>51125.333333333328</v>
      </c>
      <c r="T163" s="106">
        <f t="shared" si="308"/>
        <v>1125.3333333333285</v>
      </c>
      <c r="U163" s="107">
        <f t="shared" si="309"/>
        <v>5224.5733333333264</v>
      </c>
      <c r="V163" s="106">
        <f t="shared" si="310"/>
        <v>-1203.7666666666701</v>
      </c>
      <c r="W163" s="108" t="s">
        <v>489</v>
      </c>
      <c r="X163" s="109">
        <f>47267.74/11*12</f>
        <v>51564.807272727267</v>
      </c>
      <c r="Y163" s="24">
        <f t="shared" si="233"/>
        <v>439.47393939393805</v>
      </c>
      <c r="Z163" s="85">
        <v>54659</v>
      </c>
      <c r="AA163" s="29">
        <f t="shared" si="311"/>
        <v>4659</v>
      </c>
      <c r="AB163" s="29">
        <f t="shared" si="312"/>
        <v>3533.6666666666715</v>
      </c>
      <c r="AC163" s="72" t="s">
        <v>309</v>
      </c>
      <c r="AD163" s="72"/>
      <c r="AE163" s="72"/>
      <c r="AF163" s="72"/>
      <c r="AG163" s="72"/>
      <c r="AH163" s="85">
        <f t="shared" si="313"/>
        <v>54659</v>
      </c>
      <c r="AI163" s="85">
        <f>31420.84/7*12</f>
        <v>53864.29714285714</v>
      </c>
      <c r="AJ163" s="85">
        <f t="shared" si="314"/>
        <v>0</v>
      </c>
      <c r="AK163" s="86">
        <v>57619.333333333336</v>
      </c>
      <c r="AL163" s="123">
        <v>53200</v>
      </c>
      <c r="AM163" s="27">
        <f t="shared" si="240"/>
        <v>-664.29714285713999</v>
      </c>
      <c r="AN163" s="61">
        <f t="shared" si="241"/>
        <v>-1459</v>
      </c>
      <c r="AO163" s="62">
        <f t="shared" si="242"/>
        <v>-794.70285714286001</v>
      </c>
      <c r="AQ163" s="90" t="s">
        <v>490</v>
      </c>
      <c r="AR163" s="90" t="s">
        <v>491</v>
      </c>
      <c r="AS163" s="90" t="s">
        <v>490</v>
      </c>
      <c r="AT163" s="86">
        <f>AL163*102.3%</f>
        <v>54423.6</v>
      </c>
      <c r="AU163" s="71">
        <v>54825.7</v>
      </c>
      <c r="AV163" s="71">
        <f t="shared" si="315"/>
        <v>54500</v>
      </c>
      <c r="AW163" s="71">
        <f t="shared" si="316"/>
        <v>-159</v>
      </c>
      <c r="AX163" s="76">
        <f t="shared" si="317"/>
        <v>-235.40000000000146</v>
      </c>
      <c r="AY163" s="76">
        <f t="shared" si="318"/>
        <v>1223.5999999999985</v>
      </c>
      <c r="AZ163" s="145" t="s">
        <v>300</v>
      </c>
      <c r="BE163" s="71">
        <v>54500</v>
      </c>
      <c r="BF163" s="71">
        <v>54300</v>
      </c>
      <c r="BG163" s="78">
        <f t="shared" si="319"/>
        <v>0</v>
      </c>
      <c r="BH163" s="71">
        <f>BF163+1266.12+1427.4</f>
        <v>56993.520000000004</v>
      </c>
      <c r="BI163" s="33">
        <f t="shared" si="320"/>
        <v>-200</v>
      </c>
      <c r="BJ163" s="33">
        <f t="shared" si="321"/>
        <v>-525.69999999999709</v>
      </c>
      <c r="BK163" s="71">
        <v>61461.799999999988</v>
      </c>
      <c r="BL163" s="79">
        <f t="shared" si="322"/>
        <v>4468.2799999999843</v>
      </c>
      <c r="BM163" s="79">
        <f t="shared" si="323"/>
        <v>6961.7999999999884</v>
      </c>
      <c r="BN163" s="87" t="s">
        <v>492</v>
      </c>
      <c r="BO163" s="32"/>
      <c r="BP163" s="71">
        <v>60643.35</v>
      </c>
      <c r="BQ163" s="32">
        <f t="shared" si="243"/>
        <v>-818.44999999998981</v>
      </c>
      <c r="BR163" s="32">
        <f t="shared" si="244"/>
        <v>6143.3499999999985</v>
      </c>
      <c r="BS163" s="32"/>
      <c r="BT163" s="87"/>
      <c r="BU163" s="33"/>
      <c r="BV163" s="34">
        <f t="shared" si="245"/>
        <v>2493.5200000000041</v>
      </c>
      <c r="BW163" s="72"/>
      <c r="BY163" s="82"/>
      <c r="BZ163" s="82"/>
      <c r="CC163" s="37"/>
      <c r="CD163" s="71">
        <v>54825.7</v>
      </c>
    </row>
    <row r="164" spans="1:82" s="77" customFormat="1" ht="18" customHeight="1" x14ac:dyDescent="0.25">
      <c r="A164" s="99" t="s">
        <v>58</v>
      </c>
      <c r="B164" s="100"/>
      <c r="C164" s="101"/>
      <c r="D164" s="93"/>
      <c r="E164" s="98"/>
      <c r="F164" s="121" t="s">
        <v>493</v>
      </c>
      <c r="G164" s="106">
        <v>5500</v>
      </c>
      <c r="H164" s="106">
        <v>7000</v>
      </c>
      <c r="I164" s="106">
        <v>7000</v>
      </c>
      <c r="J164" s="65"/>
      <c r="K164" s="106">
        <v>7345.01</v>
      </c>
      <c r="L164" s="106"/>
      <c r="M164" s="106">
        <v>3500</v>
      </c>
      <c r="N164" s="106">
        <f>M164*2</f>
        <v>7000</v>
      </c>
      <c r="O164" s="106">
        <f>I164</f>
        <v>7000</v>
      </c>
      <c r="P164" s="106">
        <f t="shared" si="307"/>
        <v>0</v>
      </c>
      <c r="Q164" s="106">
        <v>1852.94</v>
      </c>
      <c r="R164" s="106"/>
      <c r="S164" s="106">
        <v>7000</v>
      </c>
      <c r="T164" s="106">
        <f t="shared" si="308"/>
        <v>0</v>
      </c>
      <c r="U164" s="107">
        <f t="shared" si="309"/>
        <v>-345.01000000000022</v>
      </c>
      <c r="V164" s="106">
        <f t="shared" si="310"/>
        <v>0</v>
      </c>
      <c r="W164" s="108"/>
      <c r="X164" s="109">
        <f>1852.94+(7000-1242.94)</f>
        <v>7610</v>
      </c>
      <c r="Y164" s="24">
        <f t="shared" si="233"/>
        <v>610</v>
      </c>
      <c r="Z164" s="85">
        <v>8067</v>
      </c>
      <c r="AA164" s="29">
        <f t="shared" si="311"/>
        <v>1067</v>
      </c>
      <c r="AB164" s="29">
        <f t="shared" si="312"/>
        <v>1067</v>
      </c>
      <c r="AC164" s="72" t="s">
        <v>309</v>
      </c>
      <c r="AD164" s="72"/>
      <c r="AE164" s="72"/>
      <c r="AF164" s="72"/>
      <c r="AG164" s="72"/>
      <c r="AH164" s="85">
        <f t="shared" si="313"/>
        <v>8067</v>
      </c>
      <c r="AI164" s="85">
        <f>Z164</f>
        <v>8067</v>
      </c>
      <c r="AJ164" s="85">
        <f t="shared" si="314"/>
        <v>0</v>
      </c>
      <c r="AK164" s="86">
        <v>8067</v>
      </c>
      <c r="AL164" s="123">
        <f>4598.8+(4598.8/348*17)</f>
        <v>4823.454022988506</v>
      </c>
      <c r="AM164" s="27">
        <f t="shared" si="240"/>
        <v>-3243.545977011494</v>
      </c>
      <c r="AN164" s="61">
        <f t="shared" si="241"/>
        <v>-3243.545977011494</v>
      </c>
      <c r="AO164" s="62">
        <f t="shared" si="242"/>
        <v>0</v>
      </c>
      <c r="AQ164" s="85" t="s">
        <v>271</v>
      </c>
      <c r="AR164" s="85" t="s">
        <v>271</v>
      </c>
      <c r="AS164" s="85" t="s">
        <v>271</v>
      </c>
      <c r="AT164" s="86">
        <f>AL164*102.3%</f>
        <v>4934.3934655172416</v>
      </c>
      <c r="AU164" s="71">
        <v>4838.07</v>
      </c>
      <c r="AV164" s="71">
        <f t="shared" si="315"/>
        <v>5000</v>
      </c>
      <c r="AW164" s="71">
        <f t="shared" si="316"/>
        <v>-3067</v>
      </c>
      <c r="AX164" s="76">
        <f t="shared" si="317"/>
        <v>-3132.6065344827584</v>
      </c>
      <c r="AY164" s="76">
        <f t="shared" si="318"/>
        <v>110.93944252873553</v>
      </c>
      <c r="AZ164" s="145" t="s">
        <v>300</v>
      </c>
      <c r="BE164" s="71">
        <v>5000</v>
      </c>
      <c r="BF164" s="71">
        <f>1385.01/3*12</f>
        <v>5540.04</v>
      </c>
      <c r="BG164" s="78">
        <f t="shared" si="319"/>
        <v>0</v>
      </c>
      <c r="BH164" s="71">
        <f>BF164</f>
        <v>5540.04</v>
      </c>
      <c r="BI164" s="33">
        <f t="shared" si="320"/>
        <v>540.04</v>
      </c>
      <c r="BJ164" s="33">
        <f t="shared" si="321"/>
        <v>701.97000000000025</v>
      </c>
      <c r="BK164" s="71">
        <v>6331.0499999999993</v>
      </c>
      <c r="BL164" s="79">
        <f t="shared" si="322"/>
        <v>791.00999999999931</v>
      </c>
      <c r="BM164" s="79">
        <f t="shared" si="323"/>
        <v>1331.0499999999993</v>
      </c>
      <c r="BN164" s="87"/>
      <c r="BO164" s="32"/>
      <c r="BP164" s="71">
        <v>4764.6099999999997</v>
      </c>
      <c r="BQ164" s="32">
        <f t="shared" si="243"/>
        <v>-1566.4399999999996</v>
      </c>
      <c r="BR164" s="32">
        <f t="shared" si="244"/>
        <v>-235.39000000000033</v>
      </c>
      <c r="BS164" s="32"/>
      <c r="BT164" s="87"/>
      <c r="BU164" s="33"/>
      <c r="BV164" s="34">
        <f t="shared" si="245"/>
        <v>540.04</v>
      </c>
      <c r="BY164" s="82"/>
      <c r="BZ164" s="82"/>
      <c r="CC164" s="37"/>
      <c r="CD164" s="71">
        <v>4838.07</v>
      </c>
    </row>
    <row r="165" spans="1:82" s="77" customFormat="1" ht="18" customHeight="1" x14ac:dyDescent="0.25">
      <c r="A165" s="99" t="s">
        <v>58</v>
      </c>
      <c r="B165" s="100"/>
      <c r="C165" s="101"/>
      <c r="D165" s="93"/>
      <c r="E165" s="98"/>
      <c r="F165" s="121" t="s">
        <v>494</v>
      </c>
      <c r="G165" s="106">
        <v>4200</v>
      </c>
      <c r="H165" s="106">
        <v>4600</v>
      </c>
      <c r="I165" s="106">
        <v>5700</v>
      </c>
      <c r="J165" s="70" t="s">
        <v>495</v>
      </c>
      <c r="K165" s="106">
        <v>3805.01</v>
      </c>
      <c r="L165" s="106">
        <v>2162.0700000000002</v>
      </c>
      <c r="M165" s="106">
        <f>L165</f>
        <v>2162.0700000000002</v>
      </c>
      <c r="N165" s="106">
        <f>M165*2</f>
        <v>4324.1400000000003</v>
      </c>
      <c r="O165" s="106">
        <f>N165</f>
        <v>4324.1400000000003</v>
      </c>
      <c r="P165" s="106">
        <f t="shared" si="307"/>
        <v>-1375.8599999999997</v>
      </c>
      <c r="Q165" s="106">
        <v>2162.0700000000002</v>
      </c>
      <c r="R165" s="106"/>
      <c r="S165" s="106">
        <f>Q165+3294</f>
        <v>5456.07</v>
      </c>
      <c r="T165" s="106">
        <f t="shared" si="308"/>
        <v>-243.93000000000029</v>
      </c>
      <c r="U165" s="107">
        <f t="shared" si="309"/>
        <v>1651.0599999999995</v>
      </c>
      <c r="V165" s="106">
        <f t="shared" si="310"/>
        <v>1131.9299999999994</v>
      </c>
      <c r="W165" s="108"/>
      <c r="X165" s="109">
        <f>5456.07</f>
        <v>5456.07</v>
      </c>
      <c r="Y165" s="24">
        <f t="shared" si="233"/>
        <v>0</v>
      </c>
      <c r="Z165" s="85">
        <v>5783</v>
      </c>
      <c r="AA165" s="29">
        <f t="shared" si="311"/>
        <v>83</v>
      </c>
      <c r="AB165" s="29">
        <f t="shared" si="312"/>
        <v>326.93000000000029</v>
      </c>
      <c r="AC165" s="72" t="s">
        <v>496</v>
      </c>
      <c r="AD165" s="72">
        <f>AB165/2</f>
        <v>163.46500000000015</v>
      </c>
      <c r="AE165" s="72"/>
      <c r="AF165" s="72"/>
      <c r="AG165" s="72"/>
      <c r="AH165" s="85">
        <f t="shared" si="313"/>
        <v>5783</v>
      </c>
      <c r="AI165" s="85">
        <f>10718.19-2869.32</f>
        <v>7848.8700000000008</v>
      </c>
      <c r="AJ165" s="85">
        <f t="shared" si="314"/>
        <v>0</v>
      </c>
      <c r="AK165" s="86">
        <v>7848.8700000000008</v>
      </c>
      <c r="AL165" s="123">
        <f>10718.19-2869.32-424.56</f>
        <v>7424.31</v>
      </c>
      <c r="AM165" s="27">
        <f t="shared" si="240"/>
        <v>-424.5600000000004</v>
      </c>
      <c r="AN165" s="61">
        <f t="shared" si="241"/>
        <v>1641.3100000000004</v>
      </c>
      <c r="AO165" s="62">
        <f t="shared" si="242"/>
        <v>2065.8700000000008</v>
      </c>
      <c r="AQ165" s="85" t="s">
        <v>497</v>
      </c>
      <c r="AR165" s="85" t="s">
        <v>497</v>
      </c>
      <c r="AS165" s="85" t="s">
        <v>497</v>
      </c>
      <c r="AT165" s="86">
        <f>AL165</f>
        <v>7424.31</v>
      </c>
      <c r="AU165" s="71">
        <v>7424.31</v>
      </c>
      <c r="AV165" s="71">
        <f t="shared" si="315"/>
        <v>7500</v>
      </c>
      <c r="AW165" s="71">
        <f t="shared" si="316"/>
        <v>1717</v>
      </c>
      <c r="AX165" s="76">
        <f t="shared" si="317"/>
        <v>1641.3100000000004</v>
      </c>
      <c r="AY165" s="76">
        <f t="shared" si="318"/>
        <v>0</v>
      </c>
      <c r="AZ165" s="77" t="s">
        <v>498</v>
      </c>
      <c r="BE165" s="71">
        <v>7500</v>
      </c>
      <c r="BF165" s="71">
        <f>10160.82-1867.44</f>
        <v>8293.3799999999992</v>
      </c>
      <c r="BG165" s="78">
        <f t="shared" si="319"/>
        <v>0</v>
      </c>
      <c r="BH165" s="71">
        <f>BF165</f>
        <v>8293.3799999999992</v>
      </c>
      <c r="BI165" s="33">
        <f t="shared" si="320"/>
        <v>793.3799999999992</v>
      </c>
      <c r="BJ165" s="33">
        <f t="shared" si="321"/>
        <v>869.0699999999988</v>
      </c>
      <c r="BK165" s="71">
        <v>8293.3799999999992</v>
      </c>
      <c r="BL165" s="79">
        <f t="shared" si="322"/>
        <v>0</v>
      </c>
      <c r="BM165" s="79">
        <f t="shared" si="323"/>
        <v>793.3799999999992</v>
      </c>
      <c r="BN165" s="87"/>
      <c r="BO165" s="32"/>
      <c r="BP165" s="71">
        <v>8293.3799999999992</v>
      </c>
      <c r="BQ165" s="32">
        <f t="shared" si="243"/>
        <v>0</v>
      </c>
      <c r="BR165" s="32">
        <f t="shared" si="244"/>
        <v>793.3799999999992</v>
      </c>
      <c r="BS165" s="32"/>
      <c r="BT165" s="87"/>
      <c r="BU165" s="33"/>
      <c r="BV165" s="34">
        <f t="shared" si="245"/>
        <v>793.3799999999992</v>
      </c>
      <c r="BY165" s="82"/>
      <c r="BZ165" s="82"/>
      <c r="CC165" s="37"/>
      <c r="CD165" s="71">
        <v>7424.31</v>
      </c>
    </row>
    <row r="166" spans="1:82" s="77" customFormat="1" ht="18" customHeight="1" x14ac:dyDescent="0.25">
      <c r="A166" s="99" t="s">
        <v>58</v>
      </c>
      <c r="B166" s="100"/>
      <c r="C166" s="101"/>
      <c r="D166" s="93"/>
      <c r="E166" s="98"/>
      <c r="F166" s="121" t="s">
        <v>499</v>
      </c>
      <c r="G166" s="106">
        <v>38800</v>
      </c>
      <c r="H166" s="106">
        <v>41000</v>
      </c>
      <c r="I166" s="106">
        <v>41100</v>
      </c>
      <c r="J166" s="70" t="s">
        <v>500</v>
      </c>
      <c r="K166" s="106">
        <v>37518.26</v>
      </c>
      <c r="L166" s="106">
        <v>31629.7</v>
      </c>
      <c r="M166" s="106">
        <f>L166</f>
        <v>31629.7</v>
      </c>
      <c r="N166" s="106">
        <f>I166</f>
        <v>41100</v>
      </c>
      <c r="O166" s="106">
        <f>I166</f>
        <v>41100</v>
      </c>
      <c r="P166" s="106">
        <f t="shared" si="307"/>
        <v>0</v>
      </c>
      <c r="Q166" s="106">
        <v>33027.19</v>
      </c>
      <c r="R166" s="106"/>
      <c r="S166" s="106">
        <f>O166+(90*55*1.22)</f>
        <v>47139</v>
      </c>
      <c r="T166" s="106">
        <f t="shared" si="308"/>
        <v>6039</v>
      </c>
      <c r="U166" s="107">
        <f t="shared" si="309"/>
        <v>9620.739999999998</v>
      </c>
      <c r="V166" s="106">
        <f t="shared" si="310"/>
        <v>6039</v>
      </c>
      <c r="W166" s="108" t="s">
        <v>501</v>
      </c>
      <c r="X166" s="109">
        <f>36324.61-666.82+(90*55*1.22)+500+500.2+567.3</f>
        <v>43264.29</v>
      </c>
      <c r="Y166" s="24">
        <f t="shared" si="233"/>
        <v>-3874.7099999999991</v>
      </c>
      <c r="Z166" s="85">
        <v>47551</v>
      </c>
      <c r="AA166" s="29">
        <f t="shared" si="311"/>
        <v>6451</v>
      </c>
      <c r="AB166" s="29">
        <f t="shared" si="312"/>
        <v>412</v>
      </c>
      <c r="AC166" s="72" t="s">
        <v>502</v>
      </c>
      <c r="AD166" s="72"/>
      <c r="AE166" s="72"/>
      <c r="AF166" s="72"/>
      <c r="AG166" s="72"/>
      <c r="AH166" s="85">
        <f t="shared" si="313"/>
        <v>47551</v>
      </c>
      <c r="AI166" s="85">
        <f>Z166</f>
        <v>47551</v>
      </c>
      <c r="AJ166" s="85">
        <f t="shared" si="314"/>
        <v>0</v>
      </c>
      <c r="AK166" s="86">
        <v>42242.609999999993</v>
      </c>
      <c r="AL166" s="123">
        <f>42635.54-(761.76+4294.92)+567.3+424.56+500+(192.5*1.22)</f>
        <v>39305.57</v>
      </c>
      <c r="AM166" s="27">
        <f t="shared" si="240"/>
        <v>-8245.43</v>
      </c>
      <c r="AN166" s="61">
        <f t="shared" si="241"/>
        <v>-8245.43</v>
      </c>
      <c r="AO166" s="62">
        <f t="shared" si="242"/>
        <v>0</v>
      </c>
      <c r="AQ166" s="86" t="s">
        <v>503</v>
      </c>
      <c r="AR166" s="86" t="s">
        <v>504</v>
      </c>
      <c r="AS166" s="86" t="s">
        <v>503</v>
      </c>
      <c r="AT166" s="86">
        <f>((AL166-8052)*102.3%)+8784+5731.56</f>
        <v>46487.962109999993</v>
      </c>
      <c r="AU166" s="71">
        <v>38745.22</v>
      </c>
      <c r="AV166" s="71">
        <f t="shared" si="315"/>
        <v>46500</v>
      </c>
      <c r="AW166" s="71">
        <f t="shared" si="316"/>
        <v>-1051</v>
      </c>
      <c r="AX166" s="76">
        <f t="shared" si="317"/>
        <v>-1063.0378900000069</v>
      </c>
      <c r="AY166" s="76">
        <f t="shared" si="318"/>
        <v>7182.3921099999934</v>
      </c>
      <c r="AZ166" s="77" t="s">
        <v>505</v>
      </c>
      <c r="BE166" s="71">
        <v>46500</v>
      </c>
      <c r="BF166" s="71">
        <v>45400</v>
      </c>
      <c r="BG166" s="78">
        <f t="shared" si="319"/>
        <v>0</v>
      </c>
      <c r="BH166" s="71">
        <f>BF166</f>
        <v>45400</v>
      </c>
      <c r="BI166" s="33">
        <f t="shared" si="320"/>
        <v>-1100</v>
      </c>
      <c r="BJ166" s="33">
        <f t="shared" si="321"/>
        <v>6654.7799999999988</v>
      </c>
      <c r="BK166" s="71">
        <v>44097.99</v>
      </c>
      <c r="BL166" s="79">
        <f t="shared" si="322"/>
        <v>-1302.010000000002</v>
      </c>
      <c r="BM166" s="79">
        <f t="shared" si="323"/>
        <v>-2402.010000000002</v>
      </c>
      <c r="BN166" s="87"/>
      <c r="BO166" s="32"/>
      <c r="BP166" s="71">
        <f>43998.56+118.34</f>
        <v>44116.899999999994</v>
      </c>
      <c r="BQ166" s="32">
        <f t="shared" si="243"/>
        <v>18.909999999996217</v>
      </c>
      <c r="BR166" s="32">
        <f t="shared" si="244"/>
        <v>-2383.1000000000058</v>
      </c>
      <c r="BS166" s="32"/>
      <c r="BT166" s="87"/>
      <c r="BU166" s="33"/>
      <c r="BV166" s="34">
        <f t="shared" si="245"/>
        <v>-1100</v>
      </c>
      <c r="BY166" s="82"/>
      <c r="BZ166" s="82"/>
      <c r="CC166" s="37"/>
      <c r="CD166" s="71">
        <v>38745.22</v>
      </c>
    </row>
    <row r="167" spans="1:82" s="77" customFormat="1" ht="18" customHeight="1" x14ac:dyDescent="0.25">
      <c r="A167" s="99" t="s">
        <v>58</v>
      </c>
      <c r="B167" s="100"/>
      <c r="C167" s="101"/>
      <c r="D167" s="93"/>
      <c r="E167" s="98"/>
      <c r="F167" s="121" t="s">
        <v>506</v>
      </c>
      <c r="G167" s="106">
        <v>300</v>
      </c>
      <c r="H167" s="106">
        <v>300</v>
      </c>
      <c r="I167" s="106">
        <v>300</v>
      </c>
      <c r="J167" s="65"/>
      <c r="K167" s="106">
        <v>256.60000000000002</v>
      </c>
      <c r="L167" s="106"/>
      <c r="M167" s="106">
        <f>L167</f>
        <v>0</v>
      </c>
      <c r="N167" s="106">
        <f>M167*2</f>
        <v>0</v>
      </c>
      <c r="O167" s="106">
        <v>300</v>
      </c>
      <c r="P167" s="106">
        <f t="shared" si="307"/>
        <v>-300</v>
      </c>
      <c r="Q167" s="106"/>
      <c r="R167" s="106"/>
      <c r="S167" s="106">
        <v>300</v>
      </c>
      <c r="T167" s="106">
        <f t="shared" si="308"/>
        <v>0</v>
      </c>
      <c r="U167" s="107">
        <f t="shared" si="309"/>
        <v>43.399999999999977</v>
      </c>
      <c r="V167" s="106">
        <f t="shared" si="310"/>
        <v>0</v>
      </c>
      <c r="W167" s="108"/>
      <c r="X167" s="109">
        <f>S167</f>
        <v>300</v>
      </c>
      <c r="Y167" s="24">
        <f t="shared" si="233"/>
        <v>0</v>
      </c>
      <c r="Z167" s="85">
        <v>300</v>
      </c>
      <c r="AA167" s="29">
        <f t="shared" si="311"/>
        <v>0</v>
      </c>
      <c r="AB167" s="29">
        <f t="shared" si="312"/>
        <v>0</v>
      </c>
      <c r="AC167" s="72"/>
      <c r="AD167" s="72"/>
      <c r="AE167" s="72"/>
      <c r="AF167" s="72"/>
      <c r="AG167" s="72"/>
      <c r="AH167" s="85">
        <f t="shared" si="313"/>
        <v>300</v>
      </c>
      <c r="AI167" s="85">
        <v>300</v>
      </c>
      <c r="AJ167" s="85">
        <f t="shared" si="314"/>
        <v>0</v>
      </c>
      <c r="AK167" s="86">
        <v>300</v>
      </c>
      <c r="AL167" s="123">
        <v>300</v>
      </c>
      <c r="AM167" s="27">
        <f t="shared" si="240"/>
        <v>0</v>
      </c>
      <c r="AN167" s="61">
        <f t="shared" si="241"/>
        <v>0</v>
      </c>
      <c r="AO167" s="62">
        <f t="shared" si="242"/>
        <v>0</v>
      </c>
      <c r="AQ167" s="85"/>
      <c r="AR167" s="85"/>
      <c r="AS167" s="85"/>
      <c r="AT167" s="86">
        <v>300</v>
      </c>
      <c r="AU167" s="71">
        <v>256.60000000000002</v>
      </c>
      <c r="AV167" s="71">
        <f t="shared" si="315"/>
        <v>300</v>
      </c>
      <c r="AW167" s="71">
        <f t="shared" si="316"/>
        <v>0</v>
      </c>
      <c r="AX167" s="76">
        <f t="shared" si="317"/>
        <v>0</v>
      </c>
      <c r="AY167" s="76">
        <f t="shared" si="318"/>
        <v>0</v>
      </c>
      <c r="BE167" s="71">
        <v>300</v>
      </c>
      <c r="BF167" s="71">
        <f>AV167</f>
        <v>300</v>
      </c>
      <c r="BG167" s="78">
        <f t="shared" si="319"/>
        <v>0</v>
      </c>
      <c r="BH167" s="71">
        <f>BF167</f>
        <v>300</v>
      </c>
      <c r="BI167" s="33">
        <f t="shared" si="320"/>
        <v>0</v>
      </c>
      <c r="BJ167" s="33">
        <f t="shared" si="321"/>
        <v>43.399999999999977</v>
      </c>
      <c r="BK167" s="71">
        <f>BH167</f>
        <v>300</v>
      </c>
      <c r="BL167" s="79">
        <f t="shared" si="322"/>
        <v>0</v>
      </c>
      <c r="BM167" s="79">
        <f t="shared" si="323"/>
        <v>0</v>
      </c>
      <c r="BN167" s="87"/>
      <c r="BO167" s="32"/>
      <c r="BP167" s="71">
        <v>256.60000000000002</v>
      </c>
      <c r="BQ167" s="32">
        <f t="shared" si="243"/>
        <v>-43.399999999999977</v>
      </c>
      <c r="BR167" s="32">
        <f t="shared" si="244"/>
        <v>-43.399999999999977</v>
      </c>
      <c r="BS167" s="32"/>
      <c r="BT167" s="87"/>
      <c r="BU167" s="33"/>
      <c r="BV167" s="34">
        <f t="shared" si="245"/>
        <v>0</v>
      </c>
      <c r="BY167" s="82"/>
      <c r="BZ167" s="82"/>
      <c r="CC167" s="37"/>
      <c r="CD167" s="71">
        <v>256.60000000000002</v>
      </c>
    </row>
    <row r="168" spans="1:82" s="77" customFormat="1" ht="18" customHeight="1" x14ac:dyDescent="0.25">
      <c r="A168" s="99" t="s">
        <v>58</v>
      </c>
      <c r="B168" s="100"/>
      <c r="C168" s="101"/>
      <c r="D168" s="93"/>
      <c r="E168" s="98"/>
      <c r="F168" s="121" t="s">
        <v>507</v>
      </c>
      <c r="G168" s="106">
        <v>92600</v>
      </c>
      <c r="H168" s="106">
        <v>64000</v>
      </c>
      <c r="I168" s="106">
        <v>71500</v>
      </c>
      <c r="J168" s="70" t="s">
        <v>508</v>
      </c>
      <c r="K168" s="106">
        <v>75737.990000000005</v>
      </c>
      <c r="L168" s="106">
        <v>24893.41</v>
      </c>
      <c r="M168" s="106">
        <f>L168</f>
        <v>24893.41</v>
      </c>
      <c r="N168" s="106">
        <v>61500</v>
      </c>
      <c r="O168" s="106">
        <v>61500</v>
      </c>
      <c r="P168" s="106">
        <f t="shared" si="307"/>
        <v>-10000</v>
      </c>
      <c r="Q168" s="106">
        <f>30073.74+2928</f>
        <v>33001.740000000005</v>
      </c>
      <c r="R168" s="106"/>
      <c r="S168" s="106">
        <f>Q168-2636.48+366+295+1800+1160+2100.84+345.67+1072+2145+1100+2145+385+5000+10000</f>
        <v>58279.770000000004</v>
      </c>
      <c r="T168" s="106">
        <f t="shared" si="308"/>
        <v>-13220.229999999996</v>
      </c>
      <c r="U168" s="107">
        <f t="shared" si="309"/>
        <v>-17458.22</v>
      </c>
      <c r="V168" s="106">
        <f t="shared" si="310"/>
        <v>-3220.2299999999959</v>
      </c>
      <c r="W168" s="108" t="s">
        <v>509</v>
      </c>
      <c r="X168" s="109">
        <v>59894.73</v>
      </c>
      <c r="Y168" s="24">
        <f t="shared" si="233"/>
        <v>1614.9599999999991</v>
      </c>
      <c r="Z168" s="85">
        <v>63488</v>
      </c>
      <c r="AA168" s="29">
        <f t="shared" si="311"/>
        <v>-8012</v>
      </c>
      <c r="AB168" s="29">
        <f t="shared" si="312"/>
        <v>5208.2299999999959</v>
      </c>
      <c r="AC168" s="72" t="s">
        <v>309</v>
      </c>
      <c r="AD168" s="72">
        <f>AB168/2</f>
        <v>2604.114999999998</v>
      </c>
      <c r="AE168" s="72"/>
      <c r="AF168" s="72"/>
      <c r="AG168" s="72"/>
      <c r="AH168" s="85">
        <f t="shared" si="313"/>
        <v>63488</v>
      </c>
      <c r="AI168" s="85">
        <f>Z168</f>
        <v>63488</v>
      </c>
      <c r="AJ168" s="85">
        <f t="shared" si="314"/>
        <v>0</v>
      </c>
      <c r="AK168" s="86">
        <v>63488</v>
      </c>
      <c r="AL168" s="123">
        <v>48100</v>
      </c>
      <c r="AM168" s="27">
        <f t="shared" si="240"/>
        <v>-15388</v>
      </c>
      <c r="AN168" s="61">
        <f t="shared" si="241"/>
        <v>-15388</v>
      </c>
      <c r="AO168" s="62">
        <f t="shared" si="242"/>
        <v>0</v>
      </c>
      <c r="AQ168" s="85" t="s">
        <v>510</v>
      </c>
      <c r="AR168" s="85" t="s">
        <v>511</v>
      </c>
      <c r="AS168" s="85" t="s">
        <v>510</v>
      </c>
      <c r="AT168" s="86">
        <f>AL168*102.3%</f>
        <v>49206.299999999996</v>
      </c>
      <c r="AU168" s="71">
        <v>47732.15</v>
      </c>
      <c r="AV168" s="71">
        <f t="shared" si="315"/>
        <v>49300</v>
      </c>
      <c r="AW168" s="71">
        <f t="shared" si="316"/>
        <v>-14188</v>
      </c>
      <c r="AX168" s="76">
        <f t="shared" si="317"/>
        <v>-14281.700000000004</v>
      </c>
      <c r="AY168" s="76">
        <f t="shared" si="318"/>
        <v>1106.2999999999956</v>
      </c>
      <c r="AZ168" s="145" t="s">
        <v>300</v>
      </c>
      <c r="BE168" s="71">
        <v>49300</v>
      </c>
      <c r="BF168" s="71">
        <v>77200</v>
      </c>
      <c r="BG168" s="78">
        <f t="shared" si="319"/>
        <v>0</v>
      </c>
      <c r="BH168" s="71">
        <f>BF168</f>
        <v>77200</v>
      </c>
      <c r="BI168" s="33">
        <f t="shared" si="320"/>
        <v>27900</v>
      </c>
      <c r="BJ168" s="33">
        <f t="shared" si="321"/>
        <v>29467.85</v>
      </c>
      <c r="BK168" s="71">
        <v>79637.799999999974</v>
      </c>
      <c r="BL168" s="79">
        <f t="shared" si="322"/>
        <v>2437.7999999999738</v>
      </c>
      <c r="BM168" s="79">
        <f t="shared" si="323"/>
        <v>30337.799999999974</v>
      </c>
      <c r="BN168" s="156" t="s">
        <v>512</v>
      </c>
      <c r="BO168" s="156" t="s">
        <v>512</v>
      </c>
      <c r="BP168" s="71">
        <v>80728.73</v>
      </c>
      <c r="BQ168" s="32">
        <f t="shared" si="243"/>
        <v>1090.9300000000221</v>
      </c>
      <c r="BR168" s="32">
        <f t="shared" si="244"/>
        <v>31428.729999999996</v>
      </c>
      <c r="BS168" s="156" t="s">
        <v>512</v>
      </c>
      <c r="BT168" s="156" t="s">
        <v>512</v>
      </c>
      <c r="BU168" s="33"/>
      <c r="BV168" s="34">
        <f t="shared" si="245"/>
        <v>27900</v>
      </c>
      <c r="BW168" s="72">
        <f>2074+11434.5+2935.44+7817.98</f>
        <v>24261.919999999998</v>
      </c>
      <c r="BY168" s="82"/>
      <c r="BZ168" s="82"/>
      <c r="CC168" s="37"/>
      <c r="CD168" s="71">
        <v>47732.15</v>
      </c>
    </row>
    <row r="169" spans="1:82" s="35" customFormat="1" ht="18" customHeight="1" x14ac:dyDescent="0.25">
      <c r="A169" s="38" t="s">
        <v>58</v>
      </c>
      <c r="B169" s="39"/>
      <c r="C169" s="93"/>
      <c r="D169" s="93" t="s">
        <v>513</v>
      </c>
      <c r="E169" s="103"/>
      <c r="F169" s="104"/>
      <c r="G169" s="46">
        <v>454200</v>
      </c>
      <c r="H169" s="46">
        <v>497300</v>
      </c>
      <c r="I169" s="46">
        <f t="shared" ref="I169:Q169" si="324">I170</f>
        <v>433250</v>
      </c>
      <c r="J169" s="46">
        <f t="shared" si="324"/>
        <v>0</v>
      </c>
      <c r="K169" s="46">
        <f t="shared" si="324"/>
        <v>483477.67999999993</v>
      </c>
      <c r="L169" s="46">
        <f t="shared" si="324"/>
        <v>361542.35000000003</v>
      </c>
      <c r="M169" s="46">
        <f t="shared" si="324"/>
        <v>379063.60499999998</v>
      </c>
      <c r="N169" s="46">
        <f t="shared" si="324"/>
        <v>758127.21</v>
      </c>
      <c r="O169" s="46">
        <f t="shared" si="324"/>
        <v>679324.56584742467</v>
      </c>
      <c r="P169" s="46">
        <f t="shared" si="324"/>
        <v>324877.20999999996</v>
      </c>
      <c r="Q169" s="46">
        <f t="shared" si="324"/>
        <v>448289.84</v>
      </c>
      <c r="R169" s="46"/>
      <c r="S169" s="46">
        <f>S170</f>
        <v>671551.47166666668</v>
      </c>
      <c r="T169" s="46">
        <f>T170</f>
        <v>238301.47166666665</v>
      </c>
      <c r="U169" s="46">
        <f>U170</f>
        <v>188073.79166666669</v>
      </c>
      <c r="V169" s="46">
        <f>V170</f>
        <v>-7773.0941807579784</v>
      </c>
      <c r="W169" s="47"/>
      <c r="X169" s="23">
        <f>X170</f>
        <v>612304.78700000001</v>
      </c>
      <c r="Y169" s="24">
        <f t="shared" si="233"/>
        <v>-59246.684666666668</v>
      </c>
      <c r="Z169" s="48">
        <f t="shared" ref="Z169:AL169" si="325">Z170</f>
        <v>647948</v>
      </c>
      <c r="AA169" s="48">
        <f t="shared" si="325"/>
        <v>214698</v>
      </c>
      <c r="AB169" s="48">
        <f t="shared" si="325"/>
        <v>-23603.471666666668</v>
      </c>
      <c r="AC169" s="48">
        <f t="shared" si="325"/>
        <v>0</v>
      </c>
      <c r="AD169" s="48">
        <f t="shared" si="325"/>
        <v>248000</v>
      </c>
      <c r="AE169" s="48">
        <f t="shared" si="325"/>
        <v>204900</v>
      </c>
      <c r="AF169" s="48">
        <f t="shared" si="325"/>
        <v>392200</v>
      </c>
      <c r="AG169" s="48">
        <f t="shared" si="325"/>
        <v>5300</v>
      </c>
      <c r="AH169" s="48">
        <f t="shared" si="325"/>
        <v>536048</v>
      </c>
      <c r="AI169" s="48">
        <f t="shared" si="325"/>
        <v>516602.12428571429</v>
      </c>
      <c r="AJ169" s="48">
        <f t="shared" si="325"/>
        <v>-111900</v>
      </c>
      <c r="AK169" s="49">
        <f t="shared" si="325"/>
        <v>515119.89761904767</v>
      </c>
      <c r="AL169" s="48">
        <f t="shared" si="325"/>
        <v>518361.21454545454</v>
      </c>
      <c r="AM169" s="27">
        <f t="shared" si="240"/>
        <v>1759.0902597402455</v>
      </c>
      <c r="AN169" s="28">
        <f t="shared" si="241"/>
        <v>-129586.78545454546</v>
      </c>
      <c r="AO169" s="50">
        <f t="shared" si="242"/>
        <v>-131345.87571428571</v>
      </c>
      <c r="AQ169" s="48"/>
      <c r="AR169" s="48"/>
      <c r="AS169" s="48"/>
      <c r="AT169" s="49">
        <f t="shared" ref="AT169:BP169" si="326">AT170</f>
        <v>530283.52247999993</v>
      </c>
      <c r="AU169" s="48">
        <f t="shared" si="326"/>
        <v>526869.23</v>
      </c>
      <c r="AV169" s="48">
        <f t="shared" si="326"/>
        <v>530800</v>
      </c>
      <c r="AW169" s="48">
        <f t="shared" si="326"/>
        <v>-117148</v>
      </c>
      <c r="AX169" s="48">
        <f t="shared" si="326"/>
        <v>-117664.47752000004</v>
      </c>
      <c r="AY169" s="48">
        <f t="shared" si="326"/>
        <v>11922.307934545397</v>
      </c>
      <c r="AZ169" s="48">
        <f t="shared" si="326"/>
        <v>0</v>
      </c>
      <c r="BA169" s="48">
        <f t="shared" si="326"/>
        <v>0</v>
      </c>
      <c r="BB169" s="48">
        <f t="shared" si="326"/>
        <v>0</v>
      </c>
      <c r="BC169" s="48">
        <f t="shared" si="326"/>
        <v>0</v>
      </c>
      <c r="BD169" s="48">
        <f t="shared" si="326"/>
        <v>0</v>
      </c>
      <c r="BE169" s="48">
        <f t="shared" si="326"/>
        <v>463226.16000000003</v>
      </c>
      <c r="BF169" s="48">
        <f t="shared" si="326"/>
        <v>548663.86571428576</v>
      </c>
      <c r="BG169" s="48">
        <f t="shared" si="326"/>
        <v>-67573.84</v>
      </c>
      <c r="BH169" s="48">
        <f t="shared" si="326"/>
        <v>546599.55333333334</v>
      </c>
      <c r="BI169" s="48">
        <f t="shared" si="326"/>
        <v>17863.865714285712</v>
      </c>
      <c r="BJ169" s="48">
        <f t="shared" si="326"/>
        <v>21794.635714285731</v>
      </c>
      <c r="BK169" s="48">
        <f t="shared" si="326"/>
        <v>559796.64878787869</v>
      </c>
      <c r="BL169" s="48">
        <f t="shared" si="326"/>
        <v>13197.09545454547</v>
      </c>
      <c r="BM169" s="48">
        <f t="shared" si="326"/>
        <v>28996.648787878814</v>
      </c>
      <c r="BN169" s="48">
        <f t="shared" si="326"/>
        <v>0</v>
      </c>
      <c r="BO169" s="48">
        <f t="shared" si="326"/>
        <v>0</v>
      </c>
      <c r="BP169" s="48">
        <f t="shared" si="326"/>
        <v>539504.72000000009</v>
      </c>
      <c r="BQ169" s="32">
        <f t="shared" si="243"/>
        <v>-20291.928787878598</v>
      </c>
      <c r="BR169" s="32">
        <f t="shared" si="244"/>
        <v>8704.7200000000885</v>
      </c>
      <c r="BS169" s="32"/>
      <c r="BT169" s="32"/>
      <c r="BU169" s="33"/>
      <c r="BV169" s="34">
        <f t="shared" si="245"/>
        <v>15799.553333333344</v>
      </c>
      <c r="BY169" s="36"/>
      <c r="BZ169" s="36"/>
      <c r="CC169" s="37"/>
      <c r="CD169" s="48">
        <f>CD170</f>
        <v>526869.23</v>
      </c>
    </row>
    <row r="170" spans="1:82" s="63" customFormat="1" ht="18" customHeight="1" x14ac:dyDescent="0.25">
      <c r="A170" s="96" t="s">
        <v>58</v>
      </c>
      <c r="B170" s="97"/>
      <c r="C170" s="98"/>
      <c r="D170" s="103"/>
      <c r="E170" s="98" t="s">
        <v>513</v>
      </c>
      <c r="F170" s="105"/>
      <c r="G170" s="55">
        <v>454200</v>
      </c>
      <c r="H170" s="55">
        <v>497300</v>
      </c>
      <c r="I170" s="55">
        <f t="shared" ref="I170:Q170" si="327">SUM(I171:I178)</f>
        <v>433250</v>
      </c>
      <c r="J170" s="55">
        <f t="shared" si="327"/>
        <v>0</v>
      </c>
      <c r="K170" s="55">
        <f t="shared" si="327"/>
        <v>483477.67999999993</v>
      </c>
      <c r="L170" s="55">
        <f t="shared" si="327"/>
        <v>361542.35000000003</v>
      </c>
      <c r="M170" s="55">
        <f t="shared" si="327"/>
        <v>379063.60499999998</v>
      </c>
      <c r="N170" s="55">
        <f t="shared" si="327"/>
        <v>758127.21</v>
      </c>
      <c r="O170" s="55">
        <f t="shared" si="327"/>
        <v>679324.56584742467</v>
      </c>
      <c r="P170" s="55">
        <f t="shared" si="327"/>
        <v>324877.20999999996</v>
      </c>
      <c r="Q170" s="55">
        <f t="shared" si="327"/>
        <v>448289.84</v>
      </c>
      <c r="R170" s="55"/>
      <c r="S170" s="55">
        <f>SUM(S171:S178)</f>
        <v>671551.47166666668</v>
      </c>
      <c r="T170" s="55">
        <f>SUM(T171:T178)</f>
        <v>238301.47166666665</v>
      </c>
      <c r="U170" s="55">
        <f>SUM(U171:U178)</f>
        <v>188073.79166666669</v>
      </c>
      <c r="V170" s="55">
        <f>SUM(V171:V178)</f>
        <v>-7773.0941807579784</v>
      </c>
      <c r="W170" s="57"/>
      <c r="X170" s="58">
        <f>SUM(X171:X178)</f>
        <v>612304.78700000001</v>
      </c>
      <c r="Y170" s="59">
        <f t="shared" si="233"/>
        <v>-59246.684666666668</v>
      </c>
      <c r="Z170" s="33">
        <f t="shared" ref="Z170:AL170" si="328">SUM(Z171:Z178)</f>
        <v>647948</v>
      </c>
      <c r="AA170" s="33">
        <f t="shared" si="328"/>
        <v>214698</v>
      </c>
      <c r="AB170" s="33">
        <f t="shared" si="328"/>
        <v>-23603.471666666668</v>
      </c>
      <c r="AC170" s="33">
        <f t="shared" si="328"/>
        <v>0</v>
      </c>
      <c r="AD170" s="33">
        <f t="shared" si="328"/>
        <v>248000</v>
      </c>
      <c r="AE170" s="33">
        <f t="shared" si="328"/>
        <v>204900</v>
      </c>
      <c r="AF170" s="33">
        <f t="shared" si="328"/>
        <v>392200</v>
      </c>
      <c r="AG170" s="33">
        <f t="shared" si="328"/>
        <v>5300</v>
      </c>
      <c r="AH170" s="33">
        <f t="shared" si="328"/>
        <v>536048</v>
      </c>
      <c r="AI170" s="33">
        <f t="shared" si="328"/>
        <v>516602.12428571429</v>
      </c>
      <c r="AJ170" s="33">
        <f t="shared" si="328"/>
        <v>-111900</v>
      </c>
      <c r="AK170" s="60">
        <f t="shared" si="328"/>
        <v>515119.89761904767</v>
      </c>
      <c r="AL170" s="33">
        <f t="shared" si="328"/>
        <v>518361.21454545454</v>
      </c>
      <c r="AM170" s="27">
        <f t="shared" si="240"/>
        <v>1759.0902597402455</v>
      </c>
      <c r="AN170" s="61">
        <f t="shared" si="241"/>
        <v>-129586.78545454546</v>
      </c>
      <c r="AO170" s="62">
        <f t="shared" si="242"/>
        <v>-131345.87571428571</v>
      </c>
      <c r="AQ170" s="33"/>
      <c r="AR170" s="33"/>
      <c r="AS170" s="33"/>
      <c r="AT170" s="60">
        <f t="shared" ref="AT170:BP170" si="329">SUM(AT171:AT178)</f>
        <v>530283.52247999993</v>
      </c>
      <c r="AU170" s="33">
        <f t="shared" si="329"/>
        <v>526869.23</v>
      </c>
      <c r="AV170" s="33">
        <f t="shared" si="329"/>
        <v>530800</v>
      </c>
      <c r="AW170" s="33">
        <f t="shared" si="329"/>
        <v>-117148</v>
      </c>
      <c r="AX170" s="33">
        <f t="shared" si="329"/>
        <v>-117664.47752000004</v>
      </c>
      <c r="AY170" s="33">
        <f t="shared" si="329"/>
        <v>11922.307934545397</v>
      </c>
      <c r="AZ170" s="33">
        <f t="shared" si="329"/>
        <v>0</v>
      </c>
      <c r="BA170" s="33">
        <f t="shared" si="329"/>
        <v>0</v>
      </c>
      <c r="BB170" s="33">
        <f t="shared" si="329"/>
        <v>0</v>
      </c>
      <c r="BC170" s="33">
        <f t="shared" si="329"/>
        <v>0</v>
      </c>
      <c r="BD170" s="33">
        <f t="shared" si="329"/>
        <v>0</v>
      </c>
      <c r="BE170" s="33">
        <f t="shared" si="329"/>
        <v>463226.16000000003</v>
      </c>
      <c r="BF170" s="33">
        <f t="shared" si="329"/>
        <v>548663.86571428576</v>
      </c>
      <c r="BG170" s="33">
        <f t="shared" si="329"/>
        <v>-67573.84</v>
      </c>
      <c r="BH170" s="33">
        <f t="shared" si="329"/>
        <v>546599.55333333334</v>
      </c>
      <c r="BI170" s="33">
        <f t="shared" si="329"/>
        <v>17863.865714285712</v>
      </c>
      <c r="BJ170" s="33">
        <f t="shared" si="329"/>
        <v>21794.635714285731</v>
      </c>
      <c r="BK170" s="33">
        <f t="shared" si="329"/>
        <v>559796.64878787869</v>
      </c>
      <c r="BL170" s="33">
        <f t="shared" si="329"/>
        <v>13197.09545454547</v>
      </c>
      <c r="BM170" s="33">
        <f t="shared" si="329"/>
        <v>28996.648787878814</v>
      </c>
      <c r="BN170" s="33">
        <f t="shared" si="329"/>
        <v>0</v>
      </c>
      <c r="BO170" s="33">
        <f t="shared" si="329"/>
        <v>0</v>
      </c>
      <c r="BP170" s="33">
        <f t="shared" si="329"/>
        <v>539504.72000000009</v>
      </c>
      <c r="BQ170" s="32">
        <f t="shared" si="243"/>
        <v>-20291.928787878598</v>
      </c>
      <c r="BR170" s="32">
        <f t="shared" si="244"/>
        <v>8704.7200000000885</v>
      </c>
      <c r="BS170" s="32"/>
      <c r="BT170" s="32"/>
      <c r="BU170" s="33"/>
      <c r="BV170" s="34">
        <f t="shared" si="245"/>
        <v>15799.553333333344</v>
      </c>
      <c r="BY170" s="64"/>
      <c r="BZ170" s="64"/>
      <c r="CC170" s="37"/>
      <c r="CD170" s="33">
        <f>SUM(CD171:CD178)</f>
        <v>526869.23</v>
      </c>
    </row>
    <row r="171" spans="1:82" s="77" customFormat="1" ht="18" customHeight="1" x14ac:dyDescent="0.25">
      <c r="A171" s="99" t="s">
        <v>58</v>
      </c>
      <c r="B171" s="100"/>
      <c r="C171" s="101"/>
      <c r="D171" s="93"/>
      <c r="E171" s="98"/>
      <c r="F171" s="121" t="s">
        <v>514</v>
      </c>
      <c r="G171" s="106">
        <v>12400</v>
      </c>
      <c r="H171" s="106">
        <v>12000</v>
      </c>
      <c r="I171" s="106">
        <v>8100</v>
      </c>
      <c r="J171" s="70" t="s">
        <v>515</v>
      </c>
      <c r="K171" s="106">
        <v>11966.6</v>
      </c>
      <c r="L171" s="106">
        <v>3142.37</v>
      </c>
      <c r="M171" s="106">
        <f>L171</f>
        <v>3142.37</v>
      </c>
      <c r="N171" s="106">
        <f t="shared" ref="N171:N178" si="330">M171*2</f>
        <v>6284.74</v>
      </c>
      <c r="O171" s="106">
        <f>N171+300</f>
        <v>6584.74</v>
      </c>
      <c r="P171" s="106">
        <f t="shared" ref="P171:P178" si="331">N171-I171</f>
        <v>-1815.2600000000002</v>
      </c>
      <c r="Q171" s="106">
        <v>4925.68</v>
      </c>
      <c r="R171" s="106"/>
      <c r="S171" s="106">
        <f>Q171/9*12</f>
        <v>6567.5733333333337</v>
      </c>
      <c r="T171" s="106">
        <f t="shared" ref="T171:T178" si="332">S171-I171</f>
        <v>-1532.4266666666663</v>
      </c>
      <c r="U171" s="107">
        <f t="shared" ref="U171:U178" si="333">S171-K171</f>
        <v>-5399.0266666666666</v>
      </c>
      <c r="V171" s="106">
        <f t="shared" ref="V171:V178" si="334">S171-O171</f>
        <v>-17.16666666666606</v>
      </c>
      <c r="W171" s="108"/>
      <c r="X171" s="109">
        <f>5988.36/11*12</f>
        <v>6532.7563636363629</v>
      </c>
      <c r="Y171" s="24">
        <f t="shared" si="233"/>
        <v>-34.816969696970773</v>
      </c>
      <c r="Z171" s="85">
        <v>6925</v>
      </c>
      <c r="AA171" s="29">
        <f t="shared" ref="AA171:AA178" si="335">Z171-I171</f>
        <v>-1175</v>
      </c>
      <c r="AB171" s="29">
        <f t="shared" ref="AB171:AB178" si="336">Z171-S171</f>
        <v>357.42666666666628</v>
      </c>
      <c r="AC171" s="72" t="s">
        <v>309</v>
      </c>
      <c r="AD171" s="72"/>
      <c r="AE171" s="72"/>
      <c r="AF171" s="72"/>
      <c r="AG171" s="72"/>
      <c r="AH171" s="85">
        <f t="shared" ref="AH171:AH176" si="337">Z171</f>
        <v>6925</v>
      </c>
      <c r="AI171" s="85">
        <f>3110.7+(336.52*3)+(300*4)+150</f>
        <v>5470.26</v>
      </c>
      <c r="AJ171" s="85">
        <f t="shared" ref="AJ171:AJ178" si="338">AH171-Z171</f>
        <v>0</v>
      </c>
      <c r="AK171" s="86">
        <v>5485.9700000000012</v>
      </c>
      <c r="AL171" s="123">
        <f>5284.66+150+336.52</f>
        <v>5771.18</v>
      </c>
      <c r="AM171" s="27">
        <f t="shared" si="240"/>
        <v>300.92000000000007</v>
      </c>
      <c r="AN171" s="61">
        <f t="shared" si="241"/>
        <v>-1153.8199999999997</v>
      </c>
      <c r="AO171" s="62">
        <f t="shared" si="242"/>
        <v>-1454.7399999999998</v>
      </c>
      <c r="AQ171" s="85" t="s">
        <v>516</v>
      </c>
      <c r="AR171" s="85" t="s">
        <v>516</v>
      </c>
      <c r="AS171" s="85" t="s">
        <v>516</v>
      </c>
      <c r="AT171" s="86">
        <f t="shared" ref="AT171:AT178" si="339">AL171*102.3%</f>
        <v>5903.9171399999996</v>
      </c>
      <c r="AU171" s="71">
        <v>5626.62</v>
      </c>
      <c r="AV171" s="71">
        <f t="shared" ref="AV171:AV178" si="340">CEILING(AT171,100)</f>
        <v>6000</v>
      </c>
      <c r="AW171" s="71">
        <f t="shared" ref="AW171:AW178" si="341">AV171-Z171</f>
        <v>-925</v>
      </c>
      <c r="AX171" s="76">
        <f t="shared" ref="AX171:AX178" si="342">AT171-Z171</f>
        <v>-1021.0828600000004</v>
      </c>
      <c r="AY171" s="76">
        <f t="shared" ref="AY171:AY178" si="343">AT171-AL171</f>
        <v>132.73713999999927</v>
      </c>
      <c r="AZ171" s="145" t="s">
        <v>300</v>
      </c>
      <c r="BE171" s="71">
        <v>6000</v>
      </c>
      <c r="BF171" s="71">
        <v>5400</v>
      </c>
      <c r="BG171" s="78">
        <f t="shared" ref="BG171:BG178" si="344">BE171-AV171</f>
        <v>0</v>
      </c>
      <c r="BH171" s="71">
        <f>BF171</f>
        <v>5400</v>
      </c>
      <c r="BI171" s="33">
        <f t="shared" ref="BI171:BI178" si="345">BF171-AV171</f>
        <v>-600</v>
      </c>
      <c r="BJ171" s="33">
        <f t="shared" ref="BJ171:BJ178" si="346">BF171-AU171</f>
        <v>-226.61999999999989</v>
      </c>
      <c r="BK171" s="71">
        <v>5398.37</v>
      </c>
      <c r="BL171" s="79">
        <f t="shared" ref="BL171:BL178" si="347">BK171-BH171</f>
        <v>-1.6300000000001091</v>
      </c>
      <c r="BM171" s="79">
        <f t="shared" ref="BM171:BM178" si="348">BK171-AV171</f>
        <v>-601.63000000000011</v>
      </c>
      <c r="BN171" s="32"/>
      <c r="BO171" s="32"/>
      <c r="BP171" s="71">
        <v>5408.9</v>
      </c>
      <c r="BQ171" s="32">
        <f t="shared" si="243"/>
        <v>10.529999999999745</v>
      </c>
      <c r="BR171" s="32">
        <f t="shared" si="244"/>
        <v>-591.10000000000036</v>
      </c>
      <c r="BS171" s="32"/>
      <c r="BT171" s="32"/>
      <c r="BU171" s="33"/>
      <c r="BV171" s="34">
        <f t="shared" si="245"/>
        <v>-600</v>
      </c>
      <c r="BY171" s="82"/>
      <c r="BZ171" s="82"/>
      <c r="CC171" s="37"/>
      <c r="CD171" s="71">
        <v>5626.62</v>
      </c>
    </row>
    <row r="172" spans="1:82" s="77" customFormat="1" ht="18" customHeight="1" x14ac:dyDescent="0.25">
      <c r="A172" s="99" t="s">
        <v>58</v>
      </c>
      <c r="B172" s="100"/>
      <c r="C172" s="101"/>
      <c r="D172" s="93"/>
      <c r="E172" s="98"/>
      <c r="F172" s="121" t="s">
        <v>517</v>
      </c>
      <c r="G172" s="106">
        <v>77000</v>
      </c>
      <c r="H172" s="106">
        <v>77000</v>
      </c>
      <c r="I172" s="106">
        <v>77000</v>
      </c>
      <c r="J172" s="70" t="s">
        <v>518</v>
      </c>
      <c r="K172" s="106">
        <v>70028.539999999994</v>
      </c>
      <c r="L172" s="106">
        <v>29245.62</v>
      </c>
      <c r="M172" s="106">
        <f>L172/5*6</f>
        <v>35094.743999999999</v>
      </c>
      <c r="N172" s="106">
        <f t="shared" si="330"/>
        <v>70189.487999999998</v>
      </c>
      <c r="O172" s="106">
        <f>N172</f>
        <v>70189.487999999998</v>
      </c>
      <c r="P172" s="106">
        <f t="shared" si="331"/>
        <v>-6810.5120000000024</v>
      </c>
      <c r="Q172" s="106">
        <v>51505.22</v>
      </c>
      <c r="R172" s="106"/>
      <c r="S172" s="106">
        <v>70036</v>
      </c>
      <c r="T172" s="106">
        <f t="shared" si="332"/>
        <v>-6964</v>
      </c>
      <c r="U172" s="107">
        <f t="shared" si="333"/>
        <v>7.4600000000064028</v>
      </c>
      <c r="V172" s="106">
        <f t="shared" si="334"/>
        <v>-153.48799999999756</v>
      </c>
      <c r="W172" s="108"/>
      <c r="X172" s="109">
        <f>62352.04/11*12</f>
        <v>68020.407272727272</v>
      </c>
      <c r="Y172" s="24">
        <f t="shared" si="233"/>
        <v>-2015.5927272727276</v>
      </c>
      <c r="Z172" s="85">
        <v>72102</v>
      </c>
      <c r="AA172" s="29">
        <f t="shared" si="335"/>
        <v>-4898</v>
      </c>
      <c r="AB172" s="29">
        <f t="shared" si="336"/>
        <v>2066</v>
      </c>
      <c r="AC172" s="72" t="s">
        <v>309</v>
      </c>
      <c r="AD172" s="72"/>
      <c r="AE172" s="72"/>
      <c r="AF172" s="72"/>
      <c r="AG172" s="72"/>
      <c r="AH172" s="85">
        <f t="shared" si="337"/>
        <v>72102</v>
      </c>
      <c r="AI172" s="85">
        <f>37956.93/7*12</f>
        <v>65069.02285714286</v>
      </c>
      <c r="AJ172" s="85">
        <f t="shared" si="338"/>
        <v>0</v>
      </c>
      <c r="AK172" s="86">
        <v>65307.569999999992</v>
      </c>
      <c r="AL172" s="123">
        <f>61181.87+6400+40</f>
        <v>67621.87</v>
      </c>
      <c r="AM172" s="27">
        <f t="shared" si="240"/>
        <v>2552.8471428571356</v>
      </c>
      <c r="AN172" s="61">
        <f t="shared" si="241"/>
        <v>-4480.1300000000047</v>
      </c>
      <c r="AO172" s="62">
        <f t="shared" si="242"/>
        <v>-7032.9771428571403</v>
      </c>
      <c r="AQ172" s="90" t="s">
        <v>106</v>
      </c>
      <c r="AR172" s="90" t="s">
        <v>519</v>
      </c>
      <c r="AS172" s="90" t="s">
        <v>106</v>
      </c>
      <c r="AT172" s="86">
        <f t="shared" si="339"/>
        <v>69177.173009999984</v>
      </c>
      <c r="AU172" s="71">
        <v>67899.460000000006</v>
      </c>
      <c r="AV172" s="71">
        <f t="shared" si="340"/>
        <v>69200</v>
      </c>
      <c r="AW172" s="71">
        <f t="shared" si="341"/>
        <v>-2902</v>
      </c>
      <c r="AX172" s="76">
        <f t="shared" si="342"/>
        <v>-2924.8269900000159</v>
      </c>
      <c r="AY172" s="76">
        <f t="shared" si="343"/>
        <v>1555.3030099999887</v>
      </c>
      <c r="AZ172" s="145" t="s">
        <v>300</v>
      </c>
      <c r="BE172" s="71">
        <v>69200</v>
      </c>
      <c r="BF172" s="71">
        <f>(43280.99+81.89)/7*12</f>
        <v>74336.365714285712</v>
      </c>
      <c r="BG172" s="78">
        <f t="shared" si="344"/>
        <v>0</v>
      </c>
      <c r="BH172" s="71">
        <v>74236.333333333343</v>
      </c>
      <c r="BI172" s="33">
        <f t="shared" si="345"/>
        <v>5136.3657142857119</v>
      </c>
      <c r="BJ172" s="33">
        <f t="shared" si="346"/>
        <v>6436.9057142857055</v>
      </c>
      <c r="BK172" s="71">
        <v>75025.67333333334</v>
      </c>
      <c r="BL172" s="79">
        <f t="shared" si="347"/>
        <v>789.33999999999651</v>
      </c>
      <c r="BM172" s="79">
        <f t="shared" si="348"/>
        <v>5825.6733333333395</v>
      </c>
      <c r="BN172" s="91" t="s">
        <v>520</v>
      </c>
      <c r="BO172" s="91" t="s">
        <v>521</v>
      </c>
      <c r="BP172" s="71">
        <v>74806.14</v>
      </c>
      <c r="BQ172" s="32">
        <f t="shared" si="243"/>
        <v>-219.53333333334012</v>
      </c>
      <c r="BR172" s="32">
        <f t="shared" si="244"/>
        <v>5606.1399999999994</v>
      </c>
      <c r="BS172" s="92"/>
      <c r="BT172" s="91" t="s">
        <v>522</v>
      </c>
      <c r="BU172" s="33"/>
      <c r="BV172" s="34">
        <f t="shared" si="245"/>
        <v>5036.333333333343</v>
      </c>
      <c r="BY172" s="82"/>
      <c r="BZ172" s="82"/>
      <c r="CC172" s="37"/>
      <c r="CD172" s="71">
        <v>67899.460000000006</v>
      </c>
    </row>
    <row r="173" spans="1:82" s="77" customFormat="1" ht="18" customHeight="1" x14ac:dyDescent="0.25">
      <c r="A173" s="99" t="s">
        <v>58</v>
      </c>
      <c r="B173" s="100"/>
      <c r="C173" s="101"/>
      <c r="D173" s="93"/>
      <c r="E173" s="98"/>
      <c r="F173" s="121" t="s">
        <v>523</v>
      </c>
      <c r="G173" s="106">
        <v>3200</v>
      </c>
      <c r="H173" s="106">
        <v>3500</v>
      </c>
      <c r="I173" s="106">
        <v>3500</v>
      </c>
      <c r="J173" s="70" t="s">
        <v>524</v>
      </c>
      <c r="K173" s="106">
        <v>3469.73</v>
      </c>
      <c r="L173" s="106">
        <v>2470.58</v>
      </c>
      <c r="M173" s="106">
        <f>L173/5*6</f>
        <v>2964.6959999999999</v>
      </c>
      <c r="N173" s="106">
        <f t="shared" si="330"/>
        <v>5929.3919999999998</v>
      </c>
      <c r="O173" s="106">
        <v>6000</v>
      </c>
      <c r="P173" s="106">
        <f t="shared" si="331"/>
        <v>2429.3919999999998</v>
      </c>
      <c r="Q173" s="106">
        <v>3607.05</v>
      </c>
      <c r="R173" s="106"/>
      <c r="S173" s="106">
        <v>6850</v>
      </c>
      <c r="T173" s="106">
        <f t="shared" si="332"/>
        <v>3350</v>
      </c>
      <c r="U173" s="107">
        <f t="shared" si="333"/>
        <v>3380.27</v>
      </c>
      <c r="V173" s="106">
        <f t="shared" si="334"/>
        <v>850</v>
      </c>
      <c r="W173" s="108" t="s">
        <v>525</v>
      </c>
      <c r="X173" s="109">
        <f>5248.39/11*12</f>
        <v>5725.5163636363641</v>
      </c>
      <c r="Y173" s="24">
        <f t="shared" si="233"/>
        <v>-1124.4836363636359</v>
      </c>
      <c r="Z173" s="85">
        <v>6069</v>
      </c>
      <c r="AA173" s="29">
        <f t="shared" si="335"/>
        <v>2569</v>
      </c>
      <c r="AB173" s="29">
        <f t="shared" si="336"/>
        <v>-781</v>
      </c>
      <c r="AC173" s="72" t="s">
        <v>309</v>
      </c>
      <c r="AD173" s="72"/>
      <c r="AE173" s="72"/>
      <c r="AF173" s="72"/>
      <c r="AG173" s="72"/>
      <c r="AH173" s="85">
        <f t="shared" si="337"/>
        <v>6069</v>
      </c>
      <c r="AI173" s="85">
        <f>2465/7*12</f>
        <v>4225.7142857142862</v>
      </c>
      <c r="AJ173" s="85">
        <f t="shared" si="338"/>
        <v>0</v>
      </c>
      <c r="AK173" s="86">
        <v>4225.7142857142862</v>
      </c>
      <c r="AL173" s="123">
        <f>4042.8/11*12</f>
        <v>4410.3272727272733</v>
      </c>
      <c r="AM173" s="27">
        <f t="shared" si="240"/>
        <v>184.61298701298711</v>
      </c>
      <c r="AN173" s="61">
        <f t="shared" si="241"/>
        <v>-1658.6727272727267</v>
      </c>
      <c r="AO173" s="62">
        <f t="shared" si="242"/>
        <v>-1843.2857142857138</v>
      </c>
      <c r="AQ173" s="90" t="s">
        <v>106</v>
      </c>
      <c r="AR173" s="90" t="s">
        <v>106</v>
      </c>
      <c r="AS173" s="90" t="s">
        <v>106</v>
      </c>
      <c r="AT173" s="86">
        <f t="shared" si="339"/>
        <v>4511.7647999999999</v>
      </c>
      <c r="AU173" s="71">
        <v>4478.1000000000004</v>
      </c>
      <c r="AV173" s="71">
        <f t="shared" si="340"/>
        <v>4600</v>
      </c>
      <c r="AW173" s="71">
        <f t="shared" si="341"/>
        <v>-1469</v>
      </c>
      <c r="AX173" s="76">
        <f t="shared" si="342"/>
        <v>-1557.2352000000001</v>
      </c>
      <c r="AY173" s="76">
        <f t="shared" si="343"/>
        <v>101.43752727272658</v>
      </c>
      <c r="AZ173" s="145" t="s">
        <v>300</v>
      </c>
      <c r="BE173" s="71">
        <v>4600</v>
      </c>
      <c r="BF173" s="71">
        <f>(2138.58+872.13)/7*12</f>
        <v>5161.2171428571428</v>
      </c>
      <c r="BG173" s="78">
        <f t="shared" si="344"/>
        <v>0</v>
      </c>
      <c r="BH173" s="71">
        <f>BF173</f>
        <v>5161.2171428571428</v>
      </c>
      <c r="BI173" s="33">
        <f t="shared" si="345"/>
        <v>561.21714285714279</v>
      </c>
      <c r="BJ173" s="33">
        <f t="shared" si="346"/>
        <v>683.11714285714243</v>
      </c>
      <c r="BK173" s="71">
        <v>4376.6654545454539</v>
      </c>
      <c r="BL173" s="79">
        <f t="shared" si="347"/>
        <v>-784.55168831168885</v>
      </c>
      <c r="BM173" s="79">
        <f t="shared" si="348"/>
        <v>-223.33454545454606</v>
      </c>
      <c r="BN173" s="91" t="s">
        <v>110</v>
      </c>
      <c r="BO173" s="91" t="s">
        <v>109</v>
      </c>
      <c r="BP173" s="71">
        <v>5458.26</v>
      </c>
      <c r="BQ173" s="32">
        <f t="shared" si="243"/>
        <v>1081.5945454545463</v>
      </c>
      <c r="BR173" s="32">
        <f t="shared" si="244"/>
        <v>858.26000000000022</v>
      </c>
      <c r="BS173" s="92"/>
      <c r="BT173" s="91" t="s">
        <v>110</v>
      </c>
      <c r="BU173" s="33"/>
      <c r="BV173" s="34">
        <f t="shared" si="245"/>
        <v>561.21714285714279</v>
      </c>
      <c r="BY173" s="82"/>
      <c r="BZ173" s="82"/>
      <c r="CC173" s="37"/>
      <c r="CD173" s="71">
        <v>4478.1000000000004</v>
      </c>
    </row>
    <row r="174" spans="1:82" s="77" customFormat="1" ht="18" customHeight="1" x14ac:dyDescent="0.25">
      <c r="A174" s="99" t="s">
        <v>58</v>
      </c>
      <c r="B174" s="100"/>
      <c r="C174" s="101"/>
      <c r="D174" s="93"/>
      <c r="E174" s="98"/>
      <c r="F174" s="121" t="s">
        <v>526</v>
      </c>
      <c r="G174" s="106">
        <v>63400</v>
      </c>
      <c r="H174" s="106">
        <v>63400</v>
      </c>
      <c r="I174" s="106">
        <v>63400</v>
      </c>
      <c r="J174" s="70" t="s">
        <v>527</v>
      </c>
      <c r="K174" s="106">
        <v>61723.6</v>
      </c>
      <c r="L174" s="106">
        <v>34763.03</v>
      </c>
      <c r="M174" s="106">
        <f>L174</f>
        <v>34763.03</v>
      </c>
      <c r="N174" s="106">
        <f t="shared" si="330"/>
        <v>69526.06</v>
      </c>
      <c r="O174" s="106">
        <v>80400</v>
      </c>
      <c r="P174" s="106">
        <f t="shared" si="331"/>
        <v>6126.0599999999977</v>
      </c>
      <c r="Q174" s="106">
        <v>34763.03</v>
      </c>
      <c r="R174" s="106"/>
      <c r="S174" s="106">
        <f>Q174*2</f>
        <v>69526.06</v>
      </c>
      <c r="T174" s="106">
        <f t="shared" si="332"/>
        <v>6126.0599999999977</v>
      </c>
      <c r="U174" s="107">
        <f t="shared" si="333"/>
        <v>7802.4599999999991</v>
      </c>
      <c r="V174" s="106">
        <f t="shared" si="334"/>
        <v>-10873.940000000002</v>
      </c>
      <c r="W174" s="108"/>
      <c r="X174" s="109">
        <f>34763.03*2</f>
        <v>69526.06</v>
      </c>
      <c r="Y174" s="24">
        <f t="shared" si="233"/>
        <v>0</v>
      </c>
      <c r="Z174" s="85">
        <v>73698</v>
      </c>
      <c r="AA174" s="29">
        <f t="shared" si="335"/>
        <v>10298</v>
      </c>
      <c r="AB174" s="29">
        <f t="shared" si="336"/>
        <v>4171.9400000000023</v>
      </c>
      <c r="AC174" s="72" t="s">
        <v>309</v>
      </c>
      <c r="AD174" s="72"/>
      <c r="AE174" s="72"/>
      <c r="AF174" s="72"/>
      <c r="AG174" s="72"/>
      <c r="AH174" s="85">
        <f t="shared" si="337"/>
        <v>73698</v>
      </c>
      <c r="AI174" s="85">
        <f>Z174</f>
        <v>73698</v>
      </c>
      <c r="AJ174" s="85">
        <f t="shared" si="338"/>
        <v>0</v>
      </c>
      <c r="AK174" s="86">
        <v>72867.539999999994</v>
      </c>
      <c r="AL174" s="123">
        <f>36433.77*2</f>
        <v>72867.539999999994</v>
      </c>
      <c r="AM174" s="27">
        <f t="shared" si="240"/>
        <v>-830.4600000000064</v>
      </c>
      <c r="AN174" s="61">
        <f t="shared" si="241"/>
        <v>-830.4600000000064</v>
      </c>
      <c r="AO174" s="62">
        <f t="shared" si="242"/>
        <v>0</v>
      </c>
      <c r="AQ174" s="85" t="s">
        <v>528</v>
      </c>
      <c r="AR174" s="85" t="s">
        <v>529</v>
      </c>
      <c r="AS174" s="85" t="s">
        <v>528</v>
      </c>
      <c r="AT174" s="86">
        <f t="shared" si="339"/>
        <v>74543.493419999984</v>
      </c>
      <c r="AU174" s="71">
        <v>89866.7</v>
      </c>
      <c r="AV174" s="71">
        <f t="shared" si="340"/>
        <v>74600</v>
      </c>
      <c r="AW174" s="71">
        <f t="shared" si="341"/>
        <v>902</v>
      </c>
      <c r="AX174" s="76">
        <f t="shared" si="342"/>
        <v>845.49341999998433</v>
      </c>
      <c r="AY174" s="76">
        <f t="shared" si="343"/>
        <v>1675.9534199999907</v>
      </c>
      <c r="AZ174" s="145" t="s">
        <v>300</v>
      </c>
      <c r="BE174" s="71">
        <v>74600</v>
      </c>
      <c r="BF174" s="71">
        <f>52128.05*2</f>
        <v>104256.1</v>
      </c>
      <c r="BG174" s="78">
        <f t="shared" si="344"/>
        <v>0</v>
      </c>
      <c r="BH174" s="71">
        <f>BF174</f>
        <v>104256.1</v>
      </c>
      <c r="BI174" s="33">
        <f t="shared" si="345"/>
        <v>29656.100000000006</v>
      </c>
      <c r="BJ174" s="33">
        <f t="shared" si="346"/>
        <v>14389.400000000009</v>
      </c>
      <c r="BK174" s="71">
        <f>52128.05*2</f>
        <v>104256.1</v>
      </c>
      <c r="BL174" s="79">
        <f t="shared" si="347"/>
        <v>0</v>
      </c>
      <c r="BM174" s="79">
        <f t="shared" si="348"/>
        <v>29656.100000000006</v>
      </c>
      <c r="BN174" s="87" t="s">
        <v>530</v>
      </c>
      <c r="BO174" s="87" t="s">
        <v>530</v>
      </c>
      <c r="BP174" s="71">
        <v>88312.77</v>
      </c>
      <c r="BQ174" s="32">
        <f t="shared" si="243"/>
        <v>-15943.330000000002</v>
      </c>
      <c r="BR174" s="32">
        <f t="shared" si="244"/>
        <v>13712.770000000004</v>
      </c>
      <c r="BS174" s="32"/>
      <c r="BT174" s="87" t="s">
        <v>530</v>
      </c>
      <c r="BU174" s="33"/>
      <c r="BV174" s="34">
        <f t="shared" si="245"/>
        <v>29656.100000000006</v>
      </c>
      <c r="BY174" s="82"/>
      <c r="BZ174" s="82"/>
      <c r="CC174" s="37"/>
      <c r="CD174" s="71">
        <v>89866.7</v>
      </c>
    </row>
    <row r="175" spans="1:82" s="77" customFormat="1" ht="18" customHeight="1" x14ac:dyDescent="0.25">
      <c r="A175" s="99" t="s">
        <v>58</v>
      </c>
      <c r="B175" s="100"/>
      <c r="C175" s="101"/>
      <c r="D175" s="93"/>
      <c r="E175" s="98"/>
      <c r="F175" s="121" t="s">
        <v>531</v>
      </c>
      <c r="G175" s="106">
        <v>74000</v>
      </c>
      <c r="H175" s="106">
        <v>63800</v>
      </c>
      <c r="I175" s="106">
        <v>73000</v>
      </c>
      <c r="J175" s="70" t="s">
        <v>532</v>
      </c>
      <c r="K175" s="106">
        <v>63719.95</v>
      </c>
      <c r="L175" s="106">
        <v>19658.05</v>
      </c>
      <c r="M175" s="106">
        <f>(L175/4*6)</f>
        <v>29487.074999999997</v>
      </c>
      <c r="N175" s="106">
        <f t="shared" si="330"/>
        <v>58974.149999999994</v>
      </c>
      <c r="O175" s="106">
        <f>N175</f>
        <v>58974.149999999994</v>
      </c>
      <c r="P175" s="106">
        <f t="shared" si="331"/>
        <v>-14025.850000000006</v>
      </c>
      <c r="Q175" s="106">
        <v>42143.67</v>
      </c>
      <c r="R175" s="106"/>
      <c r="S175" s="106">
        <f>Q175/8*12</f>
        <v>63215.504999999997</v>
      </c>
      <c r="T175" s="106">
        <f t="shared" si="332"/>
        <v>-9784.4950000000026</v>
      </c>
      <c r="U175" s="107">
        <f t="shared" si="333"/>
        <v>-504.44499999999971</v>
      </c>
      <c r="V175" s="106">
        <f t="shared" si="334"/>
        <v>4241.3550000000032</v>
      </c>
      <c r="W175" s="108"/>
      <c r="X175" s="109">
        <f>42143.67/2*3</f>
        <v>63215.504999999997</v>
      </c>
      <c r="Y175" s="24">
        <f t="shared" si="233"/>
        <v>0</v>
      </c>
      <c r="Z175" s="85">
        <v>67008</v>
      </c>
      <c r="AA175" s="29">
        <f t="shared" si="335"/>
        <v>-5992</v>
      </c>
      <c r="AB175" s="29">
        <f t="shared" si="336"/>
        <v>3792.4950000000026</v>
      </c>
      <c r="AC175" s="72" t="s">
        <v>309</v>
      </c>
      <c r="AD175" s="72"/>
      <c r="AE175" s="72"/>
      <c r="AF175" s="72"/>
      <c r="AG175" s="72"/>
      <c r="AH175" s="85">
        <f t="shared" si="337"/>
        <v>67008</v>
      </c>
      <c r="AI175" s="85">
        <f>33782.79*2</f>
        <v>67565.58</v>
      </c>
      <c r="AJ175" s="85">
        <f t="shared" si="338"/>
        <v>0</v>
      </c>
      <c r="AK175" s="86">
        <v>67565.58</v>
      </c>
      <c r="AL175" s="123">
        <f>33782.79*2</f>
        <v>67565.58</v>
      </c>
      <c r="AM175" s="27">
        <f t="shared" si="240"/>
        <v>0</v>
      </c>
      <c r="AN175" s="61">
        <f t="shared" si="241"/>
        <v>557.58000000000175</v>
      </c>
      <c r="AO175" s="62">
        <f t="shared" si="242"/>
        <v>557.58000000000175</v>
      </c>
      <c r="AQ175" s="85" t="s">
        <v>529</v>
      </c>
      <c r="AR175" s="85" t="s">
        <v>529</v>
      </c>
      <c r="AS175" s="85" t="s">
        <v>529</v>
      </c>
      <c r="AT175" s="86">
        <f t="shared" si="339"/>
        <v>69119.588340000002</v>
      </c>
      <c r="AU175" s="71">
        <v>69196.3</v>
      </c>
      <c r="AV175" s="71">
        <f t="shared" si="340"/>
        <v>69200</v>
      </c>
      <c r="AW175" s="71">
        <f t="shared" si="341"/>
        <v>2192</v>
      </c>
      <c r="AX175" s="76">
        <f t="shared" si="342"/>
        <v>2111.5883400000021</v>
      </c>
      <c r="AY175" s="76">
        <f t="shared" si="343"/>
        <v>1554.0083400000003</v>
      </c>
      <c r="AZ175" s="145" t="s">
        <v>300</v>
      </c>
      <c r="BE175" s="71">
        <v>69200</v>
      </c>
      <c r="BF175" s="71">
        <f>37907.34*2</f>
        <v>75814.679999999993</v>
      </c>
      <c r="BG175" s="78">
        <f t="shared" si="344"/>
        <v>0</v>
      </c>
      <c r="BH175" s="71">
        <f>BF175</f>
        <v>75814.679999999993</v>
      </c>
      <c r="BI175" s="33">
        <f t="shared" si="345"/>
        <v>6614.679999999993</v>
      </c>
      <c r="BJ175" s="33">
        <f t="shared" si="346"/>
        <v>6618.3799999999901</v>
      </c>
      <c r="BK175" s="71">
        <f>37907.34*2</f>
        <v>75814.679999999993</v>
      </c>
      <c r="BL175" s="79">
        <f t="shared" si="347"/>
        <v>0</v>
      </c>
      <c r="BM175" s="79">
        <f t="shared" si="348"/>
        <v>6614.679999999993</v>
      </c>
      <c r="BN175" s="32"/>
      <c r="BO175" s="87" t="s">
        <v>530</v>
      </c>
      <c r="BP175" s="71">
        <v>76246.2</v>
      </c>
      <c r="BQ175" s="32">
        <f t="shared" si="243"/>
        <v>431.52000000000407</v>
      </c>
      <c r="BR175" s="32">
        <f t="shared" si="244"/>
        <v>7046.1999999999971</v>
      </c>
      <c r="BS175" s="32"/>
      <c r="BT175" s="32"/>
      <c r="BU175" s="33"/>
      <c r="BV175" s="34">
        <f t="shared" si="245"/>
        <v>6614.679999999993</v>
      </c>
      <c r="BY175" s="82"/>
      <c r="BZ175" s="82"/>
      <c r="CC175" s="37"/>
      <c r="CD175" s="71">
        <v>69196.3</v>
      </c>
    </row>
    <row r="176" spans="1:82" s="77" customFormat="1" ht="18" customHeight="1" x14ac:dyDescent="0.25">
      <c r="A176" s="99" t="s">
        <v>58</v>
      </c>
      <c r="B176" s="100"/>
      <c r="C176" s="101"/>
      <c r="D176" s="93"/>
      <c r="E176" s="98"/>
      <c r="F176" s="121" t="s">
        <v>533</v>
      </c>
      <c r="G176" s="106">
        <v>38200</v>
      </c>
      <c r="H176" s="106">
        <v>33500</v>
      </c>
      <c r="I176" s="106">
        <v>17050</v>
      </c>
      <c r="J176" s="70" t="s">
        <v>534</v>
      </c>
      <c r="K176" s="106">
        <v>34816.959999999999</v>
      </c>
      <c r="L176" s="106">
        <f>6744.95</f>
        <v>6744.95</v>
      </c>
      <c r="M176" s="106">
        <f>L176/5*6</f>
        <v>8093.9400000000005</v>
      </c>
      <c r="N176" s="106">
        <f t="shared" si="330"/>
        <v>16187.880000000001</v>
      </c>
      <c r="O176" s="106">
        <f>N176</f>
        <v>16187.880000000001</v>
      </c>
      <c r="P176" s="106">
        <f t="shared" si="331"/>
        <v>-862.11999999999898</v>
      </c>
      <c r="Q176" s="106">
        <v>12156.16</v>
      </c>
      <c r="R176" s="106"/>
      <c r="S176" s="106">
        <f>Q176/9*12</f>
        <v>16208.213333333333</v>
      </c>
      <c r="T176" s="106">
        <f t="shared" si="332"/>
        <v>-841.78666666666686</v>
      </c>
      <c r="U176" s="107">
        <f t="shared" si="333"/>
        <v>-18608.746666666666</v>
      </c>
      <c r="V176" s="106">
        <f t="shared" si="334"/>
        <v>20.333333333332121</v>
      </c>
      <c r="W176" s="108"/>
      <c r="X176" s="109">
        <f>(13686.66/10*12)+122</f>
        <v>16545.991999999998</v>
      </c>
      <c r="Y176" s="24">
        <f t="shared" si="233"/>
        <v>337.77866666666523</v>
      </c>
      <c r="Z176" s="85">
        <v>16443</v>
      </c>
      <c r="AA176" s="29">
        <f t="shared" si="335"/>
        <v>-607</v>
      </c>
      <c r="AB176" s="29">
        <f t="shared" si="336"/>
        <v>234.78666666666686</v>
      </c>
      <c r="AC176" s="72" t="s">
        <v>535</v>
      </c>
      <c r="AD176" s="72"/>
      <c r="AE176" s="72"/>
      <c r="AF176" s="72"/>
      <c r="AG176" s="72"/>
      <c r="AH176" s="85">
        <f t="shared" si="337"/>
        <v>16443</v>
      </c>
      <c r="AI176" s="85">
        <f>8788.44/7*12</f>
        <v>15065.897142857146</v>
      </c>
      <c r="AJ176" s="85">
        <f t="shared" si="338"/>
        <v>0</v>
      </c>
      <c r="AK176" s="86">
        <v>14048.64</v>
      </c>
      <c r="AL176" s="123">
        <f>11303.6/11*12</f>
        <v>12331.2</v>
      </c>
      <c r="AM176" s="27">
        <f t="shared" si="240"/>
        <v>-2734.6971428571451</v>
      </c>
      <c r="AN176" s="61">
        <f t="shared" si="241"/>
        <v>-4111.7999999999993</v>
      </c>
      <c r="AO176" s="62">
        <f t="shared" si="242"/>
        <v>-1377.1028571428542</v>
      </c>
      <c r="AQ176" s="85" t="s">
        <v>536</v>
      </c>
      <c r="AR176" s="85" t="s">
        <v>536</v>
      </c>
      <c r="AS176" s="85" t="s">
        <v>536</v>
      </c>
      <c r="AT176" s="86">
        <f t="shared" si="339"/>
        <v>12614.8176</v>
      </c>
      <c r="AU176" s="71">
        <v>13448.58</v>
      </c>
      <c r="AV176" s="71">
        <f t="shared" si="340"/>
        <v>12700</v>
      </c>
      <c r="AW176" s="71">
        <f t="shared" si="341"/>
        <v>-3743</v>
      </c>
      <c r="AX176" s="76">
        <f t="shared" si="342"/>
        <v>-3828.1823999999997</v>
      </c>
      <c r="AY176" s="76">
        <f t="shared" si="343"/>
        <v>283.61759999999958</v>
      </c>
      <c r="AZ176" s="145" t="s">
        <v>300</v>
      </c>
      <c r="BE176" s="71">
        <v>12700</v>
      </c>
      <c r="BF176" s="71">
        <f>6705.71/7*12</f>
        <v>11495.502857142857</v>
      </c>
      <c r="BG176" s="78">
        <f t="shared" si="344"/>
        <v>0</v>
      </c>
      <c r="BH176" s="71">
        <f>BF176</f>
        <v>11495.502857142857</v>
      </c>
      <c r="BI176" s="33">
        <f t="shared" si="345"/>
        <v>-1204.4971428571425</v>
      </c>
      <c r="BJ176" s="33">
        <f t="shared" si="346"/>
        <v>-1953.0771428571425</v>
      </c>
      <c r="BK176" s="71">
        <v>9468.7200000000012</v>
      </c>
      <c r="BL176" s="79">
        <f t="shared" si="347"/>
        <v>-2026.7828571428563</v>
      </c>
      <c r="BM176" s="79">
        <f t="shared" si="348"/>
        <v>-3231.2799999999988</v>
      </c>
      <c r="BN176" s="91" t="s">
        <v>110</v>
      </c>
      <c r="BO176" s="91" t="s">
        <v>537</v>
      </c>
      <c r="BP176" s="71">
        <v>9267.76</v>
      </c>
      <c r="BQ176" s="32">
        <f t="shared" si="243"/>
        <v>-200.96000000000095</v>
      </c>
      <c r="BR176" s="32">
        <f t="shared" si="244"/>
        <v>-3432.24</v>
      </c>
      <c r="BS176" s="92"/>
      <c r="BT176" s="91" t="s">
        <v>110</v>
      </c>
      <c r="BU176" s="33"/>
      <c r="BV176" s="34">
        <f t="shared" si="245"/>
        <v>-1204.4971428571425</v>
      </c>
      <c r="BY176" s="82"/>
      <c r="BZ176" s="82"/>
      <c r="CC176" s="37"/>
      <c r="CD176" s="71">
        <v>13448.58</v>
      </c>
    </row>
    <row r="177" spans="1:82" s="77" customFormat="1" ht="18" customHeight="1" x14ac:dyDescent="0.25">
      <c r="A177" s="99" t="s">
        <v>58</v>
      </c>
      <c r="B177" s="100"/>
      <c r="C177" s="101"/>
      <c r="D177" s="93"/>
      <c r="E177" s="98"/>
      <c r="F177" s="121" t="s">
        <v>538</v>
      </c>
      <c r="G177" s="83">
        <v>182000</v>
      </c>
      <c r="H177" s="83">
        <v>234900</v>
      </c>
      <c r="I177" s="83">
        <v>182000</v>
      </c>
      <c r="J177" s="70" t="s">
        <v>539</v>
      </c>
      <c r="K177" s="83">
        <v>228613.95</v>
      </c>
      <c r="L177" s="83">
        <v>256637.45</v>
      </c>
      <c r="M177" s="83">
        <f>L177</f>
        <v>256637.45</v>
      </c>
      <c r="N177" s="83">
        <f t="shared" si="330"/>
        <v>513274.9</v>
      </c>
      <c r="O177" s="83">
        <v>421992.56</v>
      </c>
      <c r="P177" s="83">
        <f t="shared" si="331"/>
        <v>331274.90000000002</v>
      </c>
      <c r="Q177" s="83">
        <v>283217.37</v>
      </c>
      <c r="R177" s="83"/>
      <c r="S177" s="83">
        <v>419444.32</v>
      </c>
      <c r="T177" s="83">
        <f t="shared" si="332"/>
        <v>237444.32</v>
      </c>
      <c r="U177" s="83">
        <f t="shared" si="333"/>
        <v>190830.37</v>
      </c>
      <c r="V177" s="83">
        <f t="shared" si="334"/>
        <v>-2548.2399999999907</v>
      </c>
      <c r="W177" s="84" t="s">
        <v>540</v>
      </c>
      <c r="X177" s="83">
        <v>365000</v>
      </c>
      <c r="Y177" s="47">
        <f t="shared" si="233"/>
        <v>-54444.320000000007</v>
      </c>
      <c r="Z177" s="85">
        <v>386900</v>
      </c>
      <c r="AA177" s="29">
        <f t="shared" si="335"/>
        <v>204900</v>
      </c>
      <c r="AB177" s="29">
        <f t="shared" si="336"/>
        <v>-32544.320000000007</v>
      </c>
      <c r="AC177" s="72" t="s">
        <v>309</v>
      </c>
      <c r="AD177" s="72">
        <f>35000+35000+30000+20000+15000+10000+9000+9000+10000+15000+30000+30000</f>
        <v>248000</v>
      </c>
      <c r="AE177" s="89">
        <f>AA177</f>
        <v>204900</v>
      </c>
      <c r="AF177" s="72">
        <f>370000*106%</f>
        <v>392200</v>
      </c>
      <c r="AG177" s="72">
        <f>AF177-Z177</f>
        <v>5300</v>
      </c>
      <c r="AH177" s="85">
        <v>275000</v>
      </c>
      <c r="AI177" s="85">
        <v>261700</v>
      </c>
      <c r="AJ177" s="85">
        <f t="shared" si="338"/>
        <v>-111900</v>
      </c>
      <c r="AK177" s="86">
        <v>270408.19</v>
      </c>
      <c r="AL177" s="85">
        <v>273388.39</v>
      </c>
      <c r="AM177" s="74">
        <f t="shared" si="240"/>
        <v>11688.390000000014</v>
      </c>
      <c r="AN177" s="33">
        <f t="shared" si="241"/>
        <v>-113511.60999999999</v>
      </c>
      <c r="AO177" s="75">
        <f t="shared" si="242"/>
        <v>-125200</v>
      </c>
      <c r="AP177" s="72">
        <f>AJ177</f>
        <v>-111900</v>
      </c>
      <c r="AQ177" s="85" t="s">
        <v>334</v>
      </c>
      <c r="AR177" s="85" t="s">
        <v>334</v>
      </c>
      <c r="AS177" s="85" t="s">
        <v>334</v>
      </c>
      <c r="AT177" s="86">
        <f t="shared" si="339"/>
        <v>279676.32296999998</v>
      </c>
      <c r="AU177" s="71">
        <v>262324.34999999998</v>
      </c>
      <c r="AV177" s="71">
        <f t="shared" si="340"/>
        <v>279700</v>
      </c>
      <c r="AW177" s="71">
        <f t="shared" si="341"/>
        <v>-107200</v>
      </c>
      <c r="AX177" s="76">
        <f t="shared" si="342"/>
        <v>-107223.67703000002</v>
      </c>
      <c r="AY177" s="76">
        <f t="shared" si="343"/>
        <v>6287.9329699999653</v>
      </c>
      <c r="AZ177" s="145" t="s">
        <v>300</v>
      </c>
      <c r="BE177" s="71">
        <v>212126.16</v>
      </c>
      <c r="BF177" s="71">
        <v>257400</v>
      </c>
      <c r="BG177" s="78">
        <f t="shared" si="344"/>
        <v>-67573.84</v>
      </c>
      <c r="BH177" s="71">
        <v>255435.72</v>
      </c>
      <c r="BI177" s="33">
        <f t="shared" si="345"/>
        <v>-22300</v>
      </c>
      <c r="BJ177" s="33">
        <f t="shared" si="346"/>
        <v>-4924.3499999999767</v>
      </c>
      <c r="BK177" s="71">
        <v>271877.21000000002</v>
      </c>
      <c r="BL177" s="79">
        <f t="shared" si="347"/>
        <v>16441.49000000002</v>
      </c>
      <c r="BM177" s="79">
        <f t="shared" si="348"/>
        <v>-7822.789999999979</v>
      </c>
      <c r="BN177" s="87" t="s">
        <v>180</v>
      </c>
      <c r="BO177" s="87" t="s">
        <v>180</v>
      </c>
      <c r="BP177" s="71">
        <v>266363.08</v>
      </c>
      <c r="BQ177" s="32">
        <f t="shared" si="243"/>
        <v>-5514.1300000000047</v>
      </c>
      <c r="BR177" s="32">
        <f t="shared" si="244"/>
        <v>-13336.919999999984</v>
      </c>
      <c r="BS177" s="32"/>
      <c r="BT177" s="87" t="s">
        <v>180</v>
      </c>
      <c r="BU177" s="33" t="s">
        <v>180</v>
      </c>
      <c r="BV177" s="34">
        <f t="shared" si="245"/>
        <v>-24264.28</v>
      </c>
      <c r="BY177" s="82"/>
      <c r="BZ177" s="82"/>
      <c r="CC177" s="37"/>
      <c r="CD177" s="71">
        <v>262324.34999999998</v>
      </c>
    </row>
    <row r="178" spans="1:82" s="77" customFormat="1" ht="18" customHeight="1" x14ac:dyDescent="0.25">
      <c r="A178" s="99" t="s">
        <v>58</v>
      </c>
      <c r="B178" s="100"/>
      <c r="C178" s="101"/>
      <c r="D178" s="93"/>
      <c r="E178" s="98"/>
      <c r="F178" s="121" t="s">
        <v>541</v>
      </c>
      <c r="G178" s="106">
        <v>4000</v>
      </c>
      <c r="H178" s="106">
        <v>9200</v>
      </c>
      <c r="I178" s="106">
        <v>9200</v>
      </c>
      <c r="J178" s="70" t="s">
        <v>542</v>
      </c>
      <c r="K178" s="106">
        <v>9138.35</v>
      </c>
      <c r="L178" s="106">
        <v>8880.2999999999993</v>
      </c>
      <c r="M178" s="106">
        <f>L178</f>
        <v>8880.2999999999993</v>
      </c>
      <c r="N178" s="106">
        <f t="shared" si="330"/>
        <v>17760.599999999999</v>
      </c>
      <c r="O178" s="106">
        <f>[1]Teleraffrescamento!J18</f>
        <v>18995.747847424656</v>
      </c>
      <c r="P178" s="106">
        <f t="shared" si="331"/>
        <v>8560.5999999999985</v>
      </c>
      <c r="Q178" s="106">
        <v>15971.66</v>
      </c>
      <c r="R178" s="106"/>
      <c r="S178" s="106">
        <v>19703.8</v>
      </c>
      <c r="T178" s="106">
        <f t="shared" si="332"/>
        <v>10503.8</v>
      </c>
      <c r="U178" s="107">
        <f t="shared" si="333"/>
        <v>10565.449999999999</v>
      </c>
      <c r="V178" s="106">
        <f t="shared" si="334"/>
        <v>708.05215257534292</v>
      </c>
      <c r="W178" s="108" t="s">
        <v>540</v>
      </c>
      <c r="X178" s="109">
        <f>17738.55</f>
        <v>17738.55</v>
      </c>
      <c r="Y178" s="24">
        <f t="shared" si="233"/>
        <v>-1965.25</v>
      </c>
      <c r="Z178" s="85">
        <v>18803</v>
      </c>
      <c r="AA178" s="29">
        <f t="shared" si="335"/>
        <v>9603</v>
      </c>
      <c r="AB178" s="29">
        <f t="shared" si="336"/>
        <v>-900.79999999999927</v>
      </c>
      <c r="AC178" s="72" t="s">
        <v>309</v>
      </c>
      <c r="AD178" s="72"/>
      <c r="AE178" s="72"/>
      <c r="AF178" s="72"/>
      <c r="AG178" s="72"/>
      <c r="AH178" s="85">
        <f>Z178</f>
        <v>18803</v>
      </c>
      <c r="AI178" s="85">
        <f>7872.41+(11151.81+430.12+406.97)+(5919.51/6*4)</f>
        <v>23807.649999999998</v>
      </c>
      <c r="AJ178" s="85">
        <f t="shared" si="338"/>
        <v>0</v>
      </c>
      <c r="AK178" s="86">
        <v>15210.693333333333</v>
      </c>
      <c r="AL178" s="123">
        <f>13204.7/11*12</f>
        <v>14405.127272727274</v>
      </c>
      <c r="AM178" s="27">
        <f t="shared" si="240"/>
        <v>-9402.5227272727243</v>
      </c>
      <c r="AN178" s="61">
        <f t="shared" si="241"/>
        <v>-4397.8727272727265</v>
      </c>
      <c r="AO178" s="62">
        <f t="shared" si="242"/>
        <v>5004.6499999999978</v>
      </c>
      <c r="AQ178" s="85" t="s">
        <v>543</v>
      </c>
      <c r="AR178" s="90" t="s">
        <v>544</v>
      </c>
      <c r="AS178" s="85" t="s">
        <v>543</v>
      </c>
      <c r="AT178" s="86">
        <f t="shared" si="339"/>
        <v>14736.4452</v>
      </c>
      <c r="AU178" s="71">
        <v>14029.12</v>
      </c>
      <c r="AV178" s="71">
        <f t="shared" si="340"/>
        <v>14800</v>
      </c>
      <c r="AW178" s="71">
        <f t="shared" si="341"/>
        <v>-4003</v>
      </c>
      <c r="AX178" s="76">
        <f t="shared" si="342"/>
        <v>-4066.5547999999999</v>
      </c>
      <c r="AY178" s="76">
        <f t="shared" si="343"/>
        <v>331.31792727272659</v>
      </c>
      <c r="AZ178" s="145" t="s">
        <v>300</v>
      </c>
      <c r="BE178" s="71">
        <v>14800</v>
      </c>
      <c r="BF178" s="71">
        <f>AV178</f>
        <v>14800</v>
      </c>
      <c r="BG178" s="78">
        <f t="shared" si="344"/>
        <v>0</v>
      </c>
      <c r="BH178" s="71">
        <f>BF178</f>
        <v>14800</v>
      </c>
      <c r="BI178" s="33">
        <f t="shared" si="345"/>
        <v>0</v>
      </c>
      <c r="BJ178" s="33">
        <f t="shared" si="346"/>
        <v>770.8799999999992</v>
      </c>
      <c r="BK178" s="71">
        <v>13579.23</v>
      </c>
      <c r="BL178" s="79">
        <f t="shared" si="347"/>
        <v>-1220.7700000000004</v>
      </c>
      <c r="BM178" s="79">
        <f t="shared" si="348"/>
        <v>-1220.7700000000004</v>
      </c>
      <c r="BN178" s="87" t="s">
        <v>271</v>
      </c>
      <c r="BO178" s="87" t="s">
        <v>545</v>
      </c>
      <c r="BP178" s="71">
        <v>13641.61</v>
      </c>
      <c r="BQ178" s="32">
        <f t="shared" si="243"/>
        <v>62.380000000001019</v>
      </c>
      <c r="BR178" s="32">
        <f t="shared" si="244"/>
        <v>-1158.3899999999994</v>
      </c>
      <c r="BS178" s="32"/>
      <c r="BT178" s="87" t="s">
        <v>271</v>
      </c>
      <c r="BU178" s="33"/>
      <c r="BV178" s="34">
        <f t="shared" si="245"/>
        <v>0</v>
      </c>
      <c r="BY178" s="82"/>
      <c r="BZ178" s="82"/>
      <c r="CC178" s="37"/>
      <c r="CD178" s="71">
        <v>14029.12</v>
      </c>
    </row>
    <row r="179" spans="1:82" s="35" customFormat="1" ht="18" customHeight="1" x14ac:dyDescent="0.25">
      <c r="A179" s="38" t="s">
        <v>58</v>
      </c>
      <c r="B179" s="39"/>
      <c r="C179" s="93"/>
      <c r="D179" s="93" t="s">
        <v>546</v>
      </c>
      <c r="E179" s="103"/>
      <c r="F179" s="104"/>
      <c r="G179" s="46">
        <v>26500</v>
      </c>
      <c r="H179" s="46">
        <v>34200</v>
      </c>
      <c r="I179" s="46">
        <f t="shared" ref="I179:Q179" si="349">I180+I191+I192+I194</f>
        <v>37500</v>
      </c>
      <c r="J179" s="46">
        <f t="shared" si="349"/>
        <v>0</v>
      </c>
      <c r="K179" s="46">
        <f t="shared" si="349"/>
        <v>30741.65</v>
      </c>
      <c r="L179" s="46">
        <f t="shared" si="349"/>
        <v>17922.089999999997</v>
      </c>
      <c r="M179" s="46">
        <f t="shared" si="349"/>
        <v>18322.089999999997</v>
      </c>
      <c r="N179" s="46">
        <f t="shared" si="349"/>
        <v>36696.179999999993</v>
      </c>
      <c r="O179" s="46">
        <f t="shared" si="349"/>
        <v>37574</v>
      </c>
      <c r="P179" s="46">
        <f t="shared" si="349"/>
        <v>-803.82000000000176</v>
      </c>
      <c r="Q179" s="46">
        <f t="shared" si="349"/>
        <v>31548.27</v>
      </c>
      <c r="R179" s="46"/>
      <c r="S179" s="46">
        <f>S180+S191+S192+S194</f>
        <v>38103.339999999997</v>
      </c>
      <c r="T179" s="46">
        <f>T180+T191+T192+T194</f>
        <v>603.33999999999651</v>
      </c>
      <c r="U179" s="46">
        <f>U180+U191+U192+U194</f>
        <v>7361.6899999999951</v>
      </c>
      <c r="V179" s="46">
        <f>V180+V191+V192+V194</f>
        <v>529.33999999999651</v>
      </c>
      <c r="W179" s="47"/>
      <c r="X179" s="23">
        <f>X180+X191+X192+X194</f>
        <v>38300.99</v>
      </c>
      <c r="Y179" s="24">
        <f t="shared" si="233"/>
        <v>197.65000000000146</v>
      </c>
      <c r="Z179" s="48">
        <f t="shared" ref="Z179:AL179" si="350">Z180+Z191+Z192+Z194</f>
        <v>40306</v>
      </c>
      <c r="AA179" s="48">
        <f t="shared" si="350"/>
        <v>2806</v>
      </c>
      <c r="AB179" s="48">
        <f t="shared" si="350"/>
        <v>2202.6600000000044</v>
      </c>
      <c r="AC179" s="48">
        <f t="shared" si="350"/>
        <v>0</v>
      </c>
      <c r="AD179" s="48">
        <f t="shared" si="350"/>
        <v>0</v>
      </c>
      <c r="AE179" s="48">
        <f t="shared" si="350"/>
        <v>0</v>
      </c>
      <c r="AF179" s="48">
        <f t="shared" si="350"/>
        <v>0</v>
      </c>
      <c r="AG179" s="48">
        <f t="shared" si="350"/>
        <v>0</v>
      </c>
      <c r="AH179" s="48">
        <f t="shared" si="350"/>
        <v>40306</v>
      </c>
      <c r="AI179" s="48">
        <f t="shared" si="350"/>
        <v>38703.64</v>
      </c>
      <c r="AJ179" s="48">
        <f t="shared" si="350"/>
        <v>0</v>
      </c>
      <c r="AK179" s="49">
        <f t="shared" si="350"/>
        <v>38703.64</v>
      </c>
      <c r="AL179" s="48">
        <f t="shared" si="350"/>
        <v>40200.089999999997</v>
      </c>
      <c r="AM179" s="27">
        <f t="shared" si="240"/>
        <v>1496.4499999999971</v>
      </c>
      <c r="AN179" s="28">
        <f t="shared" si="241"/>
        <v>-105.91000000000349</v>
      </c>
      <c r="AO179" s="50">
        <f t="shared" si="242"/>
        <v>-1602.3600000000006</v>
      </c>
      <c r="AQ179" s="48"/>
      <c r="AR179" s="48"/>
      <c r="AS179" s="48"/>
      <c r="AT179" s="49">
        <f t="shared" ref="AT179:BP179" si="351">AT180+AT191+AT192+AT194</f>
        <v>41828.500069999995</v>
      </c>
      <c r="AU179" s="48">
        <f t="shared" si="351"/>
        <v>43409.439999999995</v>
      </c>
      <c r="AV179" s="48">
        <f t="shared" si="351"/>
        <v>42200</v>
      </c>
      <c r="AW179" s="48">
        <f t="shared" si="351"/>
        <v>1894</v>
      </c>
      <c r="AX179" s="48">
        <f t="shared" si="351"/>
        <v>1522.500069999996</v>
      </c>
      <c r="AY179" s="48">
        <f t="shared" si="351"/>
        <v>1628.4100699999995</v>
      </c>
      <c r="AZ179" s="48">
        <f t="shared" si="351"/>
        <v>0</v>
      </c>
      <c r="BA179" s="48">
        <f t="shared" si="351"/>
        <v>0</v>
      </c>
      <c r="BB179" s="48">
        <f t="shared" si="351"/>
        <v>0</v>
      </c>
      <c r="BC179" s="48">
        <f t="shared" si="351"/>
        <v>0</v>
      </c>
      <c r="BD179" s="48">
        <f t="shared" si="351"/>
        <v>0</v>
      </c>
      <c r="BE179" s="48">
        <f t="shared" si="351"/>
        <v>42200</v>
      </c>
      <c r="BF179" s="48">
        <f t="shared" si="351"/>
        <v>39792.339999999997</v>
      </c>
      <c r="BG179" s="48">
        <f t="shared" si="351"/>
        <v>0</v>
      </c>
      <c r="BH179" s="48">
        <f t="shared" si="351"/>
        <v>39792.339999999997</v>
      </c>
      <c r="BI179" s="48">
        <f t="shared" si="351"/>
        <v>-2407.6600000000008</v>
      </c>
      <c r="BJ179" s="48">
        <f t="shared" si="351"/>
        <v>-3617.0999999999995</v>
      </c>
      <c r="BK179" s="48">
        <f t="shared" si="351"/>
        <v>39822.289999999994</v>
      </c>
      <c r="BL179" s="48">
        <f t="shared" si="351"/>
        <v>29.94999999999709</v>
      </c>
      <c r="BM179" s="48">
        <f t="shared" si="351"/>
        <v>-2377.7100000000037</v>
      </c>
      <c r="BN179" s="48" t="e">
        <f t="shared" si="351"/>
        <v>#VALUE!</v>
      </c>
      <c r="BO179" s="48" t="e">
        <f t="shared" si="351"/>
        <v>#VALUE!</v>
      </c>
      <c r="BP179" s="48">
        <f t="shared" si="351"/>
        <v>40269.379999999997</v>
      </c>
      <c r="BQ179" s="32">
        <f t="shared" si="243"/>
        <v>447.09000000000378</v>
      </c>
      <c r="BR179" s="32">
        <f t="shared" si="244"/>
        <v>-1930.6200000000026</v>
      </c>
      <c r="BS179" s="32"/>
      <c r="BT179" s="32"/>
      <c r="BU179" s="33"/>
      <c r="BV179" s="34">
        <f t="shared" si="245"/>
        <v>-2407.6600000000035</v>
      </c>
      <c r="BY179" s="36"/>
      <c r="BZ179" s="36"/>
      <c r="CC179" s="37"/>
      <c r="CD179" s="48">
        <f>CD180+CD191+CD192+CD194</f>
        <v>43409.439999999995</v>
      </c>
    </row>
    <row r="180" spans="1:82" s="63" customFormat="1" ht="18" customHeight="1" x14ac:dyDescent="0.25">
      <c r="A180" s="96" t="s">
        <v>58</v>
      </c>
      <c r="B180" s="97"/>
      <c r="C180" s="98"/>
      <c r="D180" s="103"/>
      <c r="E180" s="98" t="s">
        <v>547</v>
      </c>
      <c r="F180" s="105"/>
      <c r="G180" s="55">
        <v>25700</v>
      </c>
      <c r="H180" s="55">
        <v>34200</v>
      </c>
      <c r="I180" s="55">
        <f t="shared" ref="I180:Q180" si="352">SUM(I181:I190)</f>
        <v>36700</v>
      </c>
      <c r="J180" s="55">
        <f t="shared" si="352"/>
        <v>0</v>
      </c>
      <c r="K180" s="55">
        <f t="shared" si="352"/>
        <v>30741.65</v>
      </c>
      <c r="L180" s="55">
        <f t="shared" si="352"/>
        <v>17922.089999999997</v>
      </c>
      <c r="M180" s="55">
        <f t="shared" si="352"/>
        <v>17922.089999999997</v>
      </c>
      <c r="N180" s="55">
        <f t="shared" si="352"/>
        <v>35896.179999999993</v>
      </c>
      <c r="O180" s="55">
        <f t="shared" si="352"/>
        <v>36774</v>
      </c>
      <c r="P180" s="55">
        <f t="shared" si="352"/>
        <v>-803.82000000000176</v>
      </c>
      <c r="Q180" s="55">
        <f t="shared" si="352"/>
        <v>31548.27</v>
      </c>
      <c r="R180" s="55"/>
      <c r="S180" s="55">
        <f>SUM(S181:S190)</f>
        <v>38103.339999999997</v>
      </c>
      <c r="T180" s="55">
        <f t="shared" ref="T180:T195" si="353">S180-I180</f>
        <v>1403.3399999999965</v>
      </c>
      <c r="U180" s="56">
        <f t="shared" ref="U180:U195" si="354">S180-K180</f>
        <v>7361.6899999999951</v>
      </c>
      <c r="V180" s="55">
        <f t="shared" ref="V180:V195" si="355">S180-O180</f>
        <v>1329.3399999999965</v>
      </c>
      <c r="W180" s="57"/>
      <c r="X180" s="58">
        <f>SUM(X181:X190)</f>
        <v>38300.99</v>
      </c>
      <c r="Y180" s="59">
        <f t="shared" si="233"/>
        <v>197.65000000000146</v>
      </c>
      <c r="Z180" s="33">
        <f t="shared" ref="Z180:AL180" si="356">SUM(Z181:Z190)</f>
        <v>40306</v>
      </c>
      <c r="AA180" s="33">
        <f t="shared" si="356"/>
        <v>3606</v>
      </c>
      <c r="AB180" s="33">
        <f t="shared" si="356"/>
        <v>2202.6600000000044</v>
      </c>
      <c r="AC180" s="33">
        <f t="shared" si="356"/>
        <v>0</v>
      </c>
      <c r="AD180" s="33">
        <f t="shared" si="356"/>
        <v>0</v>
      </c>
      <c r="AE180" s="33">
        <f t="shared" si="356"/>
        <v>0</v>
      </c>
      <c r="AF180" s="33">
        <f t="shared" si="356"/>
        <v>0</v>
      </c>
      <c r="AG180" s="33">
        <f t="shared" si="356"/>
        <v>0</v>
      </c>
      <c r="AH180" s="33">
        <f t="shared" si="356"/>
        <v>40306</v>
      </c>
      <c r="AI180" s="33">
        <f t="shared" si="356"/>
        <v>38703.64</v>
      </c>
      <c r="AJ180" s="33">
        <f t="shared" si="356"/>
        <v>0</v>
      </c>
      <c r="AK180" s="60">
        <f t="shared" si="356"/>
        <v>38703.64</v>
      </c>
      <c r="AL180" s="33">
        <f t="shared" si="356"/>
        <v>40200.089999999997</v>
      </c>
      <c r="AM180" s="27">
        <f t="shared" si="240"/>
        <v>1496.4499999999971</v>
      </c>
      <c r="AN180" s="61">
        <f t="shared" si="241"/>
        <v>-105.91000000000349</v>
      </c>
      <c r="AO180" s="62">
        <f t="shared" si="242"/>
        <v>-1602.3600000000006</v>
      </c>
      <c r="AQ180" s="33"/>
      <c r="AR180" s="33"/>
      <c r="AS180" s="33"/>
      <c r="AT180" s="60">
        <f t="shared" ref="AT180:BP180" si="357">SUM(AT181:AT190)</f>
        <v>41108.500069999995</v>
      </c>
      <c r="AU180" s="33">
        <f t="shared" si="357"/>
        <v>43409.439999999995</v>
      </c>
      <c r="AV180" s="33">
        <f t="shared" si="357"/>
        <v>41400</v>
      </c>
      <c r="AW180" s="33">
        <f t="shared" si="357"/>
        <v>1094</v>
      </c>
      <c r="AX180" s="33">
        <f t="shared" si="357"/>
        <v>802.50006999999596</v>
      </c>
      <c r="AY180" s="33">
        <f t="shared" si="357"/>
        <v>908.41006999999945</v>
      </c>
      <c r="AZ180" s="33">
        <f t="shared" si="357"/>
        <v>0</v>
      </c>
      <c r="BA180" s="33">
        <f t="shared" si="357"/>
        <v>0</v>
      </c>
      <c r="BB180" s="33">
        <f t="shared" si="357"/>
        <v>0</v>
      </c>
      <c r="BC180" s="33">
        <f t="shared" si="357"/>
        <v>0</v>
      </c>
      <c r="BD180" s="33">
        <f t="shared" si="357"/>
        <v>0</v>
      </c>
      <c r="BE180" s="33">
        <f t="shared" si="357"/>
        <v>41400</v>
      </c>
      <c r="BF180" s="33">
        <f t="shared" si="357"/>
        <v>39792.339999999997</v>
      </c>
      <c r="BG180" s="33">
        <f t="shared" si="357"/>
        <v>0</v>
      </c>
      <c r="BH180" s="33">
        <f t="shared" si="357"/>
        <v>39792.339999999997</v>
      </c>
      <c r="BI180" s="33">
        <f t="shared" si="357"/>
        <v>-1607.6600000000005</v>
      </c>
      <c r="BJ180" s="33">
        <f t="shared" si="357"/>
        <v>-3617.0999999999995</v>
      </c>
      <c r="BK180" s="33">
        <f t="shared" si="357"/>
        <v>39822.289999999994</v>
      </c>
      <c r="BL180" s="33">
        <f t="shared" si="357"/>
        <v>29.94999999999709</v>
      </c>
      <c r="BM180" s="33">
        <f t="shared" si="357"/>
        <v>-1577.7100000000034</v>
      </c>
      <c r="BN180" s="33">
        <f t="shared" si="357"/>
        <v>0</v>
      </c>
      <c r="BO180" s="33">
        <f t="shared" si="357"/>
        <v>0</v>
      </c>
      <c r="BP180" s="33">
        <f t="shared" si="357"/>
        <v>40269.379999999997</v>
      </c>
      <c r="BQ180" s="32">
        <f t="shared" si="243"/>
        <v>447.09000000000378</v>
      </c>
      <c r="BR180" s="32">
        <f t="shared" si="244"/>
        <v>-1130.6200000000026</v>
      </c>
      <c r="BS180" s="32"/>
      <c r="BT180" s="32"/>
      <c r="BU180" s="33"/>
      <c r="BV180" s="34">
        <f t="shared" si="245"/>
        <v>-1607.6600000000035</v>
      </c>
      <c r="BY180" s="64"/>
      <c r="BZ180" s="64"/>
      <c r="CC180" s="37"/>
      <c r="CD180" s="33">
        <f>SUM(CD181:CD190)</f>
        <v>43409.439999999995</v>
      </c>
    </row>
    <row r="181" spans="1:82" s="77" customFormat="1" ht="18" customHeight="1" x14ac:dyDescent="0.25">
      <c r="A181" s="99" t="s">
        <v>58</v>
      </c>
      <c r="B181" s="100"/>
      <c r="C181" s="101"/>
      <c r="D181" s="93"/>
      <c r="E181" s="98"/>
      <c r="F181" s="121" t="s">
        <v>548</v>
      </c>
      <c r="G181" s="106">
        <v>700</v>
      </c>
      <c r="H181" s="106">
        <v>700</v>
      </c>
      <c r="I181" s="106">
        <v>700</v>
      </c>
      <c r="J181" s="70" t="s">
        <v>549</v>
      </c>
      <c r="K181" s="106">
        <v>704</v>
      </c>
      <c r="L181" s="106">
        <v>704</v>
      </c>
      <c r="M181" s="106">
        <f>L181</f>
        <v>704</v>
      </c>
      <c r="N181" s="106">
        <f>M181</f>
        <v>704</v>
      </c>
      <c r="O181" s="106">
        <f>N181</f>
        <v>704</v>
      </c>
      <c r="P181" s="106">
        <f t="shared" ref="P181:P190" si="358">N181-I181</f>
        <v>4</v>
      </c>
      <c r="Q181" s="106">
        <v>704</v>
      </c>
      <c r="R181" s="106"/>
      <c r="S181" s="106">
        <v>704</v>
      </c>
      <c r="T181" s="106">
        <f t="shared" si="353"/>
        <v>4</v>
      </c>
      <c r="U181" s="107">
        <f t="shared" si="354"/>
        <v>0</v>
      </c>
      <c r="V181" s="106">
        <f t="shared" si="355"/>
        <v>0</v>
      </c>
      <c r="W181" s="108"/>
      <c r="X181" s="109">
        <f>S181</f>
        <v>704</v>
      </c>
      <c r="Y181" s="24">
        <f t="shared" si="233"/>
        <v>0</v>
      </c>
      <c r="Z181" s="85">
        <v>704</v>
      </c>
      <c r="AA181" s="29">
        <f t="shared" ref="AA181:AA195" si="359">Z181-I181</f>
        <v>4</v>
      </c>
      <c r="AB181" s="29">
        <f t="shared" ref="AB181:AB195" si="360">Z181-S181</f>
        <v>0</v>
      </c>
      <c r="AC181" s="72"/>
      <c r="AD181" s="72"/>
      <c r="AE181" s="72"/>
      <c r="AF181" s="72"/>
      <c r="AG181" s="72"/>
      <c r="AH181" s="85">
        <f t="shared" ref="AH181:AH190" si="361">Z181</f>
        <v>704</v>
      </c>
      <c r="AI181" s="85">
        <f>Z181</f>
        <v>704</v>
      </c>
      <c r="AJ181" s="85">
        <f t="shared" ref="AJ181:AJ195" si="362">AH181-Z181</f>
        <v>0</v>
      </c>
      <c r="AK181" s="86">
        <v>704</v>
      </c>
      <c r="AL181" s="123">
        <v>704</v>
      </c>
      <c r="AM181" s="27">
        <f t="shared" si="240"/>
        <v>0</v>
      </c>
      <c r="AN181" s="61">
        <f t="shared" si="241"/>
        <v>0</v>
      </c>
      <c r="AO181" s="62">
        <f t="shared" si="242"/>
        <v>0</v>
      </c>
      <c r="AQ181" s="85"/>
      <c r="AR181" s="85"/>
      <c r="AS181" s="85"/>
      <c r="AT181" s="86">
        <v>704</v>
      </c>
      <c r="AU181" s="71">
        <v>704</v>
      </c>
      <c r="AV181" s="71">
        <f t="shared" ref="AV181:AV190" si="363">CEILING(AT181,100)</f>
        <v>800</v>
      </c>
      <c r="AW181" s="71">
        <f t="shared" ref="AW181:AW193" si="364">AV181-Z181</f>
        <v>96</v>
      </c>
      <c r="AX181" s="76">
        <f t="shared" ref="AX181:AX193" si="365">AT181-Z181</f>
        <v>0</v>
      </c>
      <c r="AY181" s="76">
        <f t="shared" ref="AY181:AY193" si="366">AT181-AL181</f>
        <v>0</v>
      </c>
      <c r="BE181" s="71">
        <v>800</v>
      </c>
      <c r="BF181" s="71">
        <v>704</v>
      </c>
      <c r="BG181" s="78">
        <f t="shared" ref="BG181:BG193" si="367">BE181-AV181</f>
        <v>0</v>
      </c>
      <c r="BH181" s="71">
        <f>BF181</f>
        <v>704</v>
      </c>
      <c r="BI181" s="33">
        <f t="shared" ref="BI181:BI193" si="368">BF181-AV181</f>
        <v>-96</v>
      </c>
      <c r="BJ181" s="33">
        <f t="shared" ref="BJ181:BJ193" si="369">BF181-AU181</f>
        <v>0</v>
      </c>
      <c r="BK181" s="71">
        <f>BH181</f>
        <v>704</v>
      </c>
      <c r="BL181" s="79">
        <f t="shared" ref="BL181:BL193" si="370">BK181-BH181</f>
        <v>0</v>
      </c>
      <c r="BM181" s="79">
        <f t="shared" ref="BM181:BM193" si="371">BK181-AV181</f>
        <v>-96</v>
      </c>
      <c r="BN181" s="32"/>
      <c r="BO181" s="32"/>
      <c r="BP181" s="71">
        <v>704</v>
      </c>
      <c r="BQ181" s="32">
        <f t="shared" si="243"/>
        <v>0</v>
      </c>
      <c r="BR181" s="32">
        <f t="shared" si="244"/>
        <v>-96</v>
      </c>
      <c r="BS181" s="32"/>
      <c r="BT181" s="32"/>
      <c r="BU181" s="33"/>
      <c r="BV181" s="34">
        <f t="shared" si="245"/>
        <v>-96</v>
      </c>
      <c r="BY181" s="82"/>
      <c r="BZ181" s="82"/>
      <c r="CC181" s="37"/>
      <c r="CD181" s="71">
        <v>704</v>
      </c>
    </row>
    <row r="182" spans="1:82" s="77" customFormat="1" ht="18" hidden="1" customHeight="1" x14ac:dyDescent="0.25">
      <c r="A182" s="99" t="s">
        <v>58</v>
      </c>
      <c r="B182" s="100"/>
      <c r="C182" s="101"/>
      <c r="D182" s="93"/>
      <c r="E182" s="98"/>
      <c r="F182" s="121" t="s">
        <v>550</v>
      </c>
      <c r="G182" s="106">
        <v>0</v>
      </c>
      <c r="H182" s="106"/>
      <c r="I182" s="106">
        <v>0</v>
      </c>
      <c r="J182" s="70"/>
      <c r="K182" s="106">
        <v>0</v>
      </c>
      <c r="L182" s="106"/>
      <c r="M182" s="106">
        <f t="shared" ref="M182:M187" si="372">L182</f>
        <v>0</v>
      </c>
      <c r="N182" s="106"/>
      <c r="O182" s="106">
        <v>0</v>
      </c>
      <c r="P182" s="106">
        <f t="shared" si="358"/>
        <v>0</v>
      </c>
      <c r="Q182" s="106"/>
      <c r="R182" s="106"/>
      <c r="S182" s="106"/>
      <c r="T182" s="106">
        <f t="shared" si="353"/>
        <v>0</v>
      </c>
      <c r="U182" s="107">
        <f t="shared" si="354"/>
        <v>0</v>
      </c>
      <c r="V182" s="106">
        <f t="shared" si="355"/>
        <v>0</v>
      </c>
      <c r="W182" s="108"/>
      <c r="X182" s="109"/>
      <c r="Y182" s="24">
        <f t="shared" si="233"/>
        <v>0</v>
      </c>
      <c r="Z182" s="85">
        <f>S182</f>
        <v>0</v>
      </c>
      <c r="AA182" s="29">
        <f t="shared" si="359"/>
        <v>0</v>
      </c>
      <c r="AB182" s="29">
        <f t="shared" si="360"/>
        <v>0</v>
      </c>
      <c r="AC182" s="72"/>
      <c r="AD182" s="72"/>
      <c r="AE182" s="72"/>
      <c r="AF182" s="72"/>
      <c r="AG182" s="72"/>
      <c r="AH182" s="85">
        <f t="shared" si="361"/>
        <v>0</v>
      </c>
      <c r="AI182" s="85"/>
      <c r="AJ182" s="85">
        <f t="shared" si="362"/>
        <v>0</v>
      </c>
      <c r="AK182" s="86"/>
      <c r="AL182" s="133"/>
      <c r="AM182" s="27">
        <f t="shared" si="240"/>
        <v>0</v>
      </c>
      <c r="AN182" s="61">
        <f t="shared" si="241"/>
        <v>0</v>
      </c>
      <c r="AO182" s="62">
        <f t="shared" si="242"/>
        <v>0</v>
      </c>
      <c r="AQ182" s="85"/>
      <c r="AR182" s="85"/>
      <c r="AS182" s="85"/>
      <c r="AT182" s="86">
        <f t="shared" ref="AT182:AT190" si="373">AL182*102.3%</f>
        <v>0</v>
      </c>
      <c r="AU182" s="71">
        <f>CEILING(BD182,100)</f>
        <v>0</v>
      </c>
      <c r="AV182" s="71">
        <f t="shared" si="363"/>
        <v>0</v>
      </c>
      <c r="AW182" s="71">
        <f t="shared" si="364"/>
        <v>0</v>
      </c>
      <c r="AX182" s="76">
        <f t="shared" si="365"/>
        <v>0</v>
      </c>
      <c r="AY182" s="76">
        <f t="shared" si="366"/>
        <v>0</v>
      </c>
      <c r="BE182" s="71">
        <v>0</v>
      </c>
      <c r="BF182" s="71"/>
      <c r="BG182" s="78">
        <f t="shared" si="367"/>
        <v>0</v>
      </c>
      <c r="BH182" s="71"/>
      <c r="BI182" s="33">
        <f t="shared" si="368"/>
        <v>0</v>
      </c>
      <c r="BJ182" s="33">
        <f t="shared" si="369"/>
        <v>0</v>
      </c>
      <c r="BK182" s="71"/>
      <c r="BL182" s="79">
        <f t="shared" si="370"/>
        <v>0</v>
      </c>
      <c r="BM182" s="79">
        <f t="shared" si="371"/>
        <v>0</v>
      </c>
      <c r="BN182" s="32"/>
      <c r="BO182" s="32"/>
      <c r="BP182" s="71"/>
      <c r="BQ182" s="32">
        <f t="shared" si="243"/>
        <v>0</v>
      </c>
      <c r="BR182" s="32">
        <f t="shared" si="244"/>
        <v>0</v>
      </c>
      <c r="BS182" s="32"/>
      <c r="BT182" s="32"/>
      <c r="BU182" s="33"/>
      <c r="BV182" s="34">
        <f t="shared" si="245"/>
        <v>0</v>
      </c>
      <c r="BY182" s="82"/>
      <c r="BZ182" s="82"/>
      <c r="CC182" s="37"/>
      <c r="CD182" s="71"/>
    </row>
    <row r="183" spans="1:82" s="77" customFormat="1" ht="18" customHeight="1" x14ac:dyDescent="0.25">
      <c r="A183" s="99" t="s">
        <v>58</v>
      </c>
      <c r="B183" s="100"/>
      <c r="C183" s="101"/>
      <c r="D183" s="93"/>
      <c r="E183" s="98"/>
      <c r="F183" s="121" t="s">
        <v>551</v>
      </c>
      <c r="G183" s="106">
        <v>16400</v>
      </c>
      <c r="H183" s="106">
        <v>25700</v>
      </c>
      <c r="I183" s="106">
        <v>28700</v>
      </c>
      <c r="J183" s="70" t="s">
        <v>552</v>
      </c>
      <c r="K183" s="106">
        <v>22317.55</v>
      </c>
      <c r="L183" s="106">
        <v>13969.96</v>
      </c>
      <c r="M183" s="106">
        <f t="shared" si="372"/>
        <v>13969.96</v>
      </c>
      <c r="N183" s="106">
        <f>M183*2</f>
        <v>27939.919999999998</v>
      </c>
      <c r="O183" s="106">
        <f>I183</f>
        <v>28700</v>
      </c>
      <c r="P183" s="106">
        <f t="shared" si="358"/>
        <v>-760.08000000000175</v>
      </c>
      <c r="Q183" s="106">
        <v>25949.14</v>
      </c>
      <c r="R183" s="106"/>
      <c r="S183" s="106">
        <f>Q183-3587.08+2017.39+300+5490+192.76+305</f>
        <v>30667.209999999995</v>
      </c>
      <c r="T183" s="106">
        <f t="shared" si="353"/>
        <v>1967.2099999999955</v>
      </c>
      <c r="U183" s="107">
        <f t="shared" si="354"/>
        <v>8349.6599999999962</v>
      </c>
      <c r="V183" s="106">
        <f t="shared" si="355"/>
        <v>1967.2099999999955</v>
      </c>
      <c r="W183" s="108" t="s">
        <v>553</v>
      </c>
      <c r="X183" s="109">
        <f>26329.78-3587.08+2017.39+5490+187.77-122</f>
        <v>30315.859999999997</v>
      </c>
      <c r="Y183" s="24">
        <f t="shared" si="233"/>
        <v>-351.34999999999854</v>
      </c>
      <c r="Z183" s="85">
        <v>31900</v>
      </c>
      <c r="AA183" s="29">
        <f t="shared" si="359"/>
        <v>3200</v>
      </c>
      <c r="AB183" s="29">
        <f t="shared" si="360"/>
        <v>1232.7900000000045</v>
      </c>
      <c r="AC183" s="157" t="s">
        <v>554</v>
      </c>
      <c r="AD183" s="72"/>
      <c r="AE183" s="72"/>
      <c r="AF183" s="72"/>
      <c r="AG183" s="72"/>
      <c r="AH183" s="85">
        <f t="shared" si="361"/>
        <v>31900</v>
      </c>
      <c r="AI183" s="85">
        <v>31070</v>
      </c>
      <c r="AJ183" s="85">
        <f t="shared" si="362"/>
        <v>0</v>
      </c>
      <c r="AK183" s="86">
        <v>31070</v>
      </c>
      <c r="AL183" s="123">
        <f>34512.07-2651.88+300+((3232*1.22)-1077.26-1229.76-1229.76)</f>
        <v>32566.449999999997</v>
      </c>
      <c r="AM183" s="27">
        <f t="shared" si="240"/>
        <v>1496.4499999999971</v>
      </c>
      <c r="AN183" s="61">
        <f t="shared" si="241"/>
        <v>666.44999999999709</v>
      </c>
      <c r="AO183" s="62">
        <f t="shared" si="242"/>
        <v>-830</v>
      </c>
      <c r="AQ183" s="85" t="s">
        <v>368</v>
      </c>
      <c r="AR183" s="85" t="s">
        <v>555</v>
      </c>
      <c r="AS183" s="85" t="s">
        <v>368</v>
      </c>
      <c r="AT183" s="86">
        <f t="shared" si="373"/>
        <v>33315.478349999998</v>
      </c>
      <c r="AU183" s="71">
        <v>35852.6</v>
      </c>
      <c r="AV183" s="71">
        <f t="shared" si="363"/>
        <v>33400</v>
      </c>
      <c r="AW183" s="71">
        <f t="shared" si="364"/>
        <v>1500</v>
      </c>
      <c r="AX183" s="76">
        <f t="shared" si="365"/>
        <v>1415.4783499999976</v>
      </c>
      <c r="AY183" s="76">
        <f t="shared" si="366"/>
        <v>749.0283500000005</v>
      </c>
      <c r="AZ183" s="145" t="s">
        <v>300</v>
      </c>
      <c r="BE183" s="71">
        <v>33400</v>
      </c>
      <c r="BF183" s="71">
        <v>31900</v>
      </c>
      <c r="BG183" s="78">
        <f t="shared" si="367"/>
        <v>0</v>
      </c>
      <c r="BH183" s="71">
        <f t="shared" ref="BH183:BH190" si="374">BF183</f>
        <v>31900</v>
      </c>
      <c r="BI183" s="33">
        <f t="shared" si="368"/>
        <v>-1500</v>
      </c>
      <c r="BJ183" s="33">
        <f t="shared" si="369"/>
        <v>-3952.5999999999985</v>
      </c>
      <c r="BK183" s="71">
        <v>31929.949999999997</v>
      </c>
      <c r="BL183" s="79">
        <f t="shared" si="370"/>
        <v>29.94999999999709</v>
      </c>
      <c r="BM183" s="79">
        <f t="shared" si="371"/>
        <v>-1470.0500000000029</v>
      </c>
      <c r="BN183" s="87" t="s">
        <v>556</v>
      </c>
      <c r="BO183" s="32" t="s">
        <v>556</v>
      </c>
      <c r="BP183" s="71">
        <v>32377.040000000001</v>
      </c>
      <c r="BQ183" s="32">
        <f t="shared" si="243"/>
        <v>447.09000000000378</v>
      </c>
      <c r="BR183" s="32">
        <f t="shared" si="244"/>
        <v>-1022.9599999999991</v>
      </c>
      <c r="BS183" s="32"/>
      <c r="BT183" s="87" t="s">
        <v>556</v>
      </c>
      <c r="BU183" s="33"/>
      <c r="BV183" s="34">
        <f t="shared" si="245"/>
        <v>-1500</v>
      </c>
      <c r="BY183" s="82"/>
      <c r="BZ183" s="82"/>
      <c r="CC183" s="37"/>
      <c r="CD183" s="71">
        <v>35852.6</v>
      </c>
    </row>
    <row r="184" spans="1:82" s="77" customFormat="1" ht="18" hidden="1" customHeight="1" x14ac:dyDescent="0.25">
      <c r="A184" s="99" t="s">
        <v>58</v>
      </c>
      <c r="B184" s="100"/>
      <c r="C184" s="101"/>
      <c r="D184" s="93"/>
      <c r="E184" s="98"/>
      <c r="F184" s="121" t="s">
        <v>557</v>
      </c>
      <c r="G184" s="106">
        <v>0</v>
      </c>
      <c r="H184" s="106"/>
      <c r="I184" s="106">
        <v>0</v>
      </c>
      <c r="J184" s="70"/>
      <c r="K184" s="106">
        <v>0</v>
      </c>
      <c r="L184" s="106"/>
      <c r="M184" s="106">
        <f t="shared" si="372"/>
        <v>0</v>
      </c>
      <c r="N184" s="106"/>
      <c r="O184" s="106"/>
      <c r="P184" s="106">
        <f t="shared" si="358"/>
        <v>0</v>
      </c>
      <c r="Q184" s="106"/>
      <c r="R184" s="106"/>
      <c r="S184" s="106"/>
      <c r="T184" s="106">
        <f t="shared" si="353"/>
        <v>0</v>
      </c>
      <c r="U184" s="107">
        <f t="shared" si="354"/>
        <v>0</v>
      </c>
      <c r="V184" s="106">
        <f t="shared" si="355"/>
        <v>0</v>
      </c>
      <c r="W184" s="108"/>
      <c r="X184" s="109"/>
      <c r="Y184" s="24">
        <f t="shared" si="233"/>
        <v>0</v>
      </c>
      <c r="Z184" s="85">
        <f>S184</f>
        <v>0</v>
      </c>
      <c r="AA184" s="29">
        <f t="shared" si="359"/>
        <v>0</v>
      </c>
      <c r="AB184" s="29">
        <f t="shared" si="360"/>
        <v>0</v>
      </c>
      <c r="AC184" s="72"/>
      <c r="AD184" s="72"/>
      <c r="AE184" s="72"/>
      <c r="AF184" s="72"/>
      <c r="AG184" s="72"/>
      <c r="AH184" s="85">
        <f t="shared" si="361"/>
        <v>0</v>
      </c>
      <c r="AI184" s="85"/>
      <c r="AJ184" s="85">
        <f t="shared" si="362"/>
        <v>0</v>
      </c>
      <c r="AK184" s="86"/>
      <c r="AL184" s="133"/>
      <c r="AM184" s="27">
        <f t="shared" si="240"/>
        <v>0</v>
      </c>
      <c r="AN184" s="61">
        <f t="shared" si="241"/>
        <v>0</v>
      </c>
      <c r="AO184" s="62">
        <f t="shared" si="242"/>
        <v>0</v>
      </c>
      <c r="AQ184" s="85"/>
      <c r="AR184" s="85"/>
      <c r="AS184" s="85"/>
      <c r="AT184" s="86">
        <f t="shared" si="373"/>
        <v>0</v>
      </c>
      <c r="AU184" s="71">
        <f>CEILING(BD184,100)</f>
        <v>0</v>
      </c>
      <c r="AV184" s="71">
        <f t="shared" si="363"/>
        <v>0</v>
      </c>
      <c r="AW184" s="71">
        <f t="shared" si="364"/>
        <v>0</v>
      </c>
      <c r="AX184" s="76">
        <f t="shared" si="365"/>
        <v>0</v>
      </c>
      <c r="AY184" s="76">
        <f t="shared" si="366"/>
        <v>0</v>
      </c>
      <c r="BE184" s="71">
        <v>0</v>
      </c>
      <c r="BF184" s="71"/>
      <c r="BG184" s="78">
        <f t="shared" si="367"/>
        <v>0</v>
      </c>
      <c r="BH184" s="71">
        <f t="shared" si="374"/>
        <v>0</v>
      </c>
      <c r="BI184" s="33">
        <f t="shared" si="368"/>
        <v>0</v>
      </c>
      <c r="BJ184" s="33">
        <f t="shared" si="369"/>
        <v>0</v>
      </c>
      <c r="BK184" s="71">
        <f t="shared" ref="BK184:BK189" si="375">BH184</f>
        <v>0</v>
      </c>
      <c r="BL184" s="79">
        <f t="shared" si="370"/>
        <v>0</v>
      </c>
      <c r="BM184" s="79">
        <f t="shared" si="371"/>
        <v>0</v>
      </c>
      <c r="BN184" s="32"/>
      <c r="BO184" s="32"/>
      <c r="BP184" s="71"/>
      <c r="BQ184" s="32">
        <f t="shared" si="243"/>
        <v>0</v>
      </c>
      <c r="BR184" s="32">
        <f t="shared" si="244"/>
        <v>0</v>
      </c>
      <c r="BS184" s="32"/>
      <c r="BT184" s="32"/>
      <c r="BU184" s="33"/>
      <c r="BV184" s="34">
        <f t="shared" si="245"/>
        <v>0</v>
      </c>
      <c r="BY184" s="82"/>
      <c r="BZ184" s="82"/>
      <c r="CC184" s="37"/>
      <c r="CD184" s="71"/>
    </row>
    <row r="185" spans="1:82" s="77" customFormat="1" ht="18" customHeight="1" x14ac:dyDescent="0.25">
      <c r="A185" s="99" t="s">
        <v>58</v>
      </c>
      <c r="B185" s="100"/>
      <c r="C185" s="101"/>
      <c r="D185" s="93"/>
      <c r="E185" s="98"/>
      <c r="F185" s="121" t="s">
        <v>558</v>
      </c>
      <c r="G185" s="106">
        <v>200</v>
      </c>
      <c r="H185" s="106">
        <v>200</v>
      </c>
      <c r="I185" s="106">
        <v>200</v>
      </c>
      <c r="J185" s="70" t="s">
        <v>559</v>
      </c>
      <c r="K185" s="106">
        <v>189.2</v>
      </c>
      <c r="L185" s="106">
        <v>76.13</v>
      </c>
      <c r="M185" s="106">
        <f t="shared" si="372"/>
        <v>76.13</v>
      </c>
      <c r="N185" s="106">
        <f>M185*2</f>
        <v>152.26</v>
      </c>
      <c r="O185" s="106">
        <v>270</v>
      </c>
      <c r="P185" s="106">
        <f t="shared" si="358"/>
        <v>-47.740000000000009</v>
      </c>
      <c r="Q185" s="106">
        <v>76.13</v>
      </c>
      <c r="R185" s="106"/>
      <c r="S185" s="106">
        <f>Q185+190</f>
        <v>266.13</v>
      </c>
      <c r="T185" s="106">
        <f t="shared" si="353"/>
        <v>66.13</v>
      </c>
      <c r="U185" s="107">
        <f t="shared" si="354"/>
        <v>76.930000000000007</v>
      </c>
      <c r="V185" s="106">
        <f t="shared" si="355"/>
        <v>-3.8700000000000045</v>
      </c>
      <c r="W185" s="108"/>
      <c r="X185" s="109">
        <f>S185</f>
        <v>266.13</v>
      </c>
      <c r="Y185" s="24">
        <f t="shared" ref="Y185:Y248" si="376">X185-S185</f>
        <v>0</v>
      </c>
      <c r="Z185" s="85">
        <v>266</v>
      </c>
      <c r="AA185" s="29">
        <f t="shared" si="359"/>
        <v>66</v>
      </c>
      <c r="AB185" s="29">
        <f t="shared" si="360"/>
        <v>-0.12999999999999545</v>
      </c>
      <c r="AC185" s="72"/>
      <c r="AD185" s="72"/>
      <c r="AE185" s="72"/>
      <c r="AF185" s="72"/>
      <c r="AG185" s="72"/>
      <c r="AH185" s="85">
        <f t="shared" si="361"/>
        <v>266</v>
      </c>
      <c r="AI185" s="85">
        <f>Z185</f>
        <v>266</v>
      </c>
      <c r="AJ185" s="85">
        <f t="shared" si="362"/>
        <v>0</v>
      </c>
      <c r="AK185" s="86">
        <v>266</v>
      </c>
      <c r="AL185" s="123">
        <f>Z185</f>
        <v>266</v>
      </c>
      <c r="AM185" s="27">
        <f t="shared" si="240"/>
        <v>0</v>
      </c>
      <c r="AN185" s="61">
        <f t="shared" si="241"/>
        <v>0</v>
      </c>
      <c r="AO185" s="62">
        <f t="shared" si="242"/>
        <v>0</v>
      </c>
      <c r="AQ185" s="85" t="s">
        <v>271</v>
      </c>
      <c r="AR185" s="85" t="s">
        <v>271</v>
      </c>
      <c r="AS185" s="85" t="s">
        <v>271</v>
      </c>
      <c r="AT185" s="86">
        <f t="shared" si="373"/>
        <v>272.11799999999999</v>
      </c>
      <c r="AU185" s="71">
        <v>189.2</v>
      </c>
      <c r="AV185" s="71">
        <f t="shared" si="363"/>
        <v>300</v>
      </c>
      <c r="AW185" s="71">
        <f t="shared" si="364"/>
        <v>34</v>
      </c>
      <c r="AX185" s="76">
        <f t="shared" si="365"/>
        <v>6.117999999999995</v>
      </c>
      <c r="AY185" s="76">
        <f t="shared" si="366"/>
        <v>6.117999999999995</v>
      </c>
      <c r="BE185" s="71">
        <v>300</v>
      </c>
      <c r="BF185" s="71">
        <f>AU185</f>
        <v>189.2</v>
      </c>
      <c r="BG185" s="78">
        <f t="shared" si="367"/>
        <v>0</v>
      </c>
      <c r="BH185" s="71">
        <f t="shared" si="374"/>
        <v>189.2</v>
      </c>
      <c r="BI185" s="33">
        <f t="shared" si="368"/>
        <v>-110.80000000000001</v>
      </c>
      <c r="BJ185" s="33">
        <f t="shared" si="369"/>
        <v>0</v>
      </c>
      <c r="BK185" s="71">
        <f t="shared" si="375"/>
        <v>189.2</v>
      </c>
      <c r="BL185" s="79">
        <f t="shared" si="370"/>
        <v>0</v>
      </c>
      <c r="BM185" s="79">
        <f t="shared" si="371"/>
        <v>-110.80000000000001</v>
      </c>
      <c r="BN185" s="32"/>
      <c r="BO185" s="32"/>
      <c r="BP185" s="71">
        <v>189.2</v>
      </c>
      <c r="BQ185" s="32">
        <f t="shared" si="243"/>
        <v>0</v>
      </c>
      <c r="BR185" s="32">
        <f t="shared" si="244"/>
        <v>-110.80000000000001</v>
      </c>
      <c r="BS185" s="32"/>
      <c r="BT185" s="32"/>
      <c r="BU185" s="33"/>
      <c r="BV185" s="34">
        <f t="shared" si="245"/>
        <v>-110.80000000000001</v>
      </c>
      <c r="BY185" s="82"/>
      <c r="BZ185" s="82"/>
      <c r="CC185" s="37"/>
      <c r="CD185" s="71">
        <v>189.2</v>
      </c>
    </row>
    <row r="186" spans="1:82" s="77" customFormat="1" ht="18" hidden="1" customHeight="1" x14ac:dyDescent="0.25">
      <c r="A186" s="99" t="s">
        <v>58</v>
      </c>
      <c r="B186" s="100"/>
      <c r="C186" s="101"/>
      <c r="D186" s="93"/>
      <c r="E186" s="98"/>
      <c r="F186" s="121" t="s">
        <v>560</v>
      </c>
      <c r="G186" s="106">
        <v>0</v>
      </c>
      <c r="H186" s="106"/>
      <c r="I186" s="106">
        <v>0</v>
      </c>
      <c r="J186" s="70"/>
      <c r="K186" s="106">
        <v>0</v>
      </c>
      <c r="L186" s="106"/>
      <c r="M186" s="106">
        <f t="shared" si="372"/>
        <v>0</v>
      </c>
      <c r="N186" s="106"/>
      <c r="O186" s="106">
        <v>0</v>
      </c>
      <c r="P186" s="106">
        <f t="shared" si="358"/>
        <v>0</v>
      </c>
      <c r="Q186" s="106"/>
      <c r="R186" s="106"/>
      <c r="S186" s="106"/>
      <c r="T186" s="106">
        <f t="shared" si="353"/>
        <v>0</v>
      </c>
      <c r="U186" s="107">
        <f t="shared" si="354"/>
        <v>0</v>
      </c>
      <c r="V186" s="106">
        <f t="shared" si="355"/>
        <v>0</v>
      </c>
      <c r="W186" s="108"/>
      <c r="X186" s="109"/>
      <c r="Y186" s="24">
        <f t="shared" si="376"/>
        <v>0</v>
      </c>
      <c r="Z186" s="85">
        <f>S186</f>
        <v>0</v>
      </c>
      <c r="AA186" s="29">
        <f t="shared" si="359"/>
        <v>0</v>
      </c>
      <c r="AB186" s="29">
        <f t="shared" si="360"/>
        <v>0</v>
      </c>
      <c r="AC186" s="72"/>
      <c r="AD186" s="72"/>
      <c r="AE186" s="72"/>
      <c r="AF186" s="72"/>
      <c r="AG186" s="72"/>
      <c r="AH186" s="85">
        <f t="shared" si="361"/>
        <v>0</v>
      </c>
      <c r="AI186" s="85"/>
      <c r="AJ186" s="85">
        <f t="shared" si="362"/>
        <v>0</v>
      </c>
      <c r="AK186" s="86"/>
      <c r="AL186" s="133"/>
      <c r="AM186" s="27">
        <f t="shared" si="240"/>
        <v>0</v>
      </c>
      <c r="AN186" s="61">
        <f t="shared" si="241"/>
        <v>0</v>
      </c>
      <c r="AO186" s="62">
        <f t="shared" si="242"/>
        <v>0</v>
      </c>
      <c r="AQ186" s="85"/>
      <c r="AR186" s="85"/>
      <c r="AS186" s="85"/>
      <c r="AT186" s="86">
        <f t="shared" si="373"/>
        <v>0</v>
      </c>
      <c r="AU186" s="71">
        <f>CEILING(BD186,100)</f>
        <v>0</v>
      </c>
      <c r="AV186" s="71">
        <f t="shared" si="363"/>
        <v>0</v>
      </c>
      <c r="AW186" s="71">
        <f t="shared" si="364"/>
        <v>0</v>
      </c>
      <c r="AX186" s="76">
        <f t="shared" si="365"/>
        <v>0</v>
      </c>
      <c r="AY186" s="76">
        <f t="shared" si="366"/>
        <v>0</v>
      </c>
      <c r="BE186" s="71">
        <v>0</v>
      </c>
      <c r="BF186" s="71"/>
      <c r="BG186" s="78">
        <f t="shared" si="367"/>
        <v>0</v>
      </c>
      <c r="BH186" s="71">
        <f t="shared" si="374"/>
        <v>0</v>
      </c>
      <c r="BI186" s="33">
        <f t="shared" si="368"/>
        <v>0</v>
      </c>
      <c r="BJ186" s="33">
        <f t="shared" si="369"/>
        <v>0</v>
      </c>
      <c r="BK186" s="71">
        <f t="shared" si="375"/>
        <v>0</v>
      </c>
      <c r="BL186" s="79">
        <f t="shared" si="370"/>
        <v>0</v>
      </c>
      <c r="BM186" s="79">
        <f t="shared" si="371"/>
        <v>0</v>
      </c>
      <c r="BN186" s="32"/>
      <c r="BO186" s="32"/>
      <c r="BP186" s="71"/>
      <c r="BQ186" s="32">
        <f t="shared" si="243"/>
        <v>0</v>
      </c>
      <c r="BR186" s="32">
        <f t="shared" si="244"/>
        <v>0</v>
      </c>
      <c r="BS186" s="32"/>
      <c r="BT186" s="32"/>
      <c r="BU186" s="33"/>
      <c r="BV186" s="34">
        <f t="shared" si="245"/>
        <v>0</v>
      </c>
      <c r="BY186" s="82"/>
      <c r="BZ186" s="82"/>
      <c r="CC186" s="37"/>
      <c r="CD186" s="71"/>
    </row>
    <row r="187" spans="1:82" s="77" customFormat="1" ht="18" hidden="1" customHeight="1" x14ac:dyDescent="0.25">
      <c r="A187" s="99" t="s">
        <v>58</v>
      </c>
      <c r="B187" s="100"/>
      <c r="C187" s="101"/>
      <c r="D187" s="93"/>
      <c r="E187" s="98"/>
      <c r="F187" s="121" t="s">
        <v>561</v>
      </c>
      <c r="G187" s="106">
        <v>0</v>
      </c>
      <c r="H187" s="106"/>
      <c r="I187" s="106">
        <v>0</v>
      </c>
      <c r="J187" s="70"/>
      <c r="K187" s="106">
        <v>0</v>
      </c>
      <c r="L187" s="106"/>
      <c r="M187" s="106">
        <f t="shared" si="372"/>
        <v>0</v>
      </c>
      <c r="N187" s="106"/>
      <c r="O187" s="106">
        <v>0</v>
      </c>
      <c r="P187" s="106">
        <f t="shared" si="358"/>
        <v>0</v>
      </c>
      <c r="Q187" s="106"/>
      <c r="R187" s="106"/>
      <c r="S187" s="106"/>
      <c r="T187" s="106">
        <f t="shared" si="353"/>
        <v>0</v>
      </c>
      <c r="U187" s="107">
        <f t="shared" si="354"/>
        <v>0</v>
      </c>
      <c r="V187" s="106">
        <f t="shared" si="355"/>
        <v>0</v>
      </c>
      <c r="W187" s="108"/>
      <c r="X187" s="109"/>
      <c r="Y187" s="24">
        <f t="shared" si="376"/>
        <v>0</v>
      </c>
      <c r="Z187" s="85">
        <f>S187</f>
        <v>0</v>
      </c>
      <c r="AA187" s="29">
        <f t="shared" si="359"/>
        <v>0</v>
      </c>
      <c r="AB187" s="29">
        <f t="shared" si="360"/>
        <v>0</v>
      </c>
      <c r="AC187" s="72"/>
      <c r="AD187" s="72"/>
      <c r="AE187" s="72"/>
      <c r="AF187" s="72"/>
      <c r="AG187" s="72"/>
      <c r="AH187" s="85">
        <f t="shared" si="361"/>
        <v>0</v>
      </c>
      <c r="AI187" s="85"/>
      <c r="AJ187" s="85">
        <f t="shared" si="362"/>
        <v>0</v>
      </c>
      <c r="AK187" s="86"/>
      <c r="AL187" s="133"/>
      <c r="AM187" s="27">
        <f t="shared" si="240"/>
        <v>0</v>
      </c>
      <c r="AN187" s="61">
        <f t="shared" si="241"/>
        <v>0</v>
      </c>
      <c r="AO187" s="62">
        <f t="shared" si="242"/>
        <v>0</v>
      </c>
      <c r="AQ187" s="85"/>
      <c r="AR187" s="85"/>
      <c r="AS187" s="85"/>
      <c r="AT187" s="86">
        <f t="shared" si="373"/>
        <v>0</v>
      </c>
      <c r="AU187" s="71">
        <f>CEILING(BD187,100)</f>
        <v>0</v>
      </c>
      <c r="AV187" s="71">
        <f t="shared" si="363"/>
        <v>0</v>
      </c>
      <c r="AW187" s="71">
        <f t="shared" si="364"/>
        <v>0</v>
      </c>
      <c r="AX187" s="76">
        <f t="shared" si="365"/>
        <v>0</v>
      </c>
      <c r="AY187" s="76">
        <f t="shared" si="366"/>
        <v>0</v>
      </c>
      <c r="BE187" s="71">
        <v>0</v>
      </c>
      <c r="BF187" s="71"/>
      <c r="BG187" s="78">
        <f t="shared" si="367"/>
        <v>0</v>
      </c>
      <c r="BH187" s="71">
        <f t="shared" si="374"/>
        <v>0</v>
      </c>
      <c r="BI187" s="33">
        <f t="shared" si="368"/>
        <v>0</v>
      </c>
      <c r="BJ187" s="33">
        <f t="shared" si="369"/>
        <v>0</v>
      </c>
      <c r="BK187" s="71">
        <f t="shared" si="375"/>
        <v>0</v>
      </c>
      <c r="BL187" s="79">
        <f t="shared" si="370"/>
        <v>0</v>
      </c>
      <c r="BM187" s="79">
        <f t="shared" si="371"/>
        <v>0</v>
      </c>
      <c r="BN187" s="32"/>
      <c r="BO187" s="32"/>
      <c r="BP187" s="71"/>
      <c r="BQ187" s="32">
        <f t="shared" si="243"/>
        <v>0</v>
      </c>
      <c r="BR187" s="32">
        <f t="shared" si="244"/>
        <v>0</v>
      </c>
      <c r="BS187" s="32"/>
      <c r="BT187" s="32"/>
      <c r="BU187" s="33"/>
      <c r="BV187" s="34">
        <f t="shared" si="245"/>
        <v>0</v>
      </c>
      <c r="BY187" s="82"/>
      <c r="BZ187" s="82"/>
      <c r="CC187" s="37"/>
      <c r="CD187" s="71"/>
    </row>
    <row r="188" spans="1:82" s="77" customFormat="1" ht="18" hidden="1" customHeight="1" x14ac:dyDescent="0.25">
      <c r="A188" s="99" t="s">
        <v>58</v>
      </c>
      <c r="B188" s="100"/>
      <c r="C188" s="101"/>
      <c r="D188" s="93"/>
      <c r="E188" s="98"/>
      <c r="F188" s="121" t="s">
        <v>562</v>
      </c>
      <c r="G188" s="106">
        <v>1300</v>
      </c>
      <c r="H188" s="106">
        <v>1300</v>
      </c>
      <c r="I188" s="106">
        <v>0</v>
      </c>
      <c r="J188" s="70" t="s">
        <v>563</v>
      </c>
      <c r="K188" s="106">
        <v>1268.8</v>
      </c>
      <c r="L188" s="106">
        <v>0</v>
      </c>
      <c r="M188" s="106">
        <v>0</v>
      </c>
      <c r="N188" s="106">
        <f>M188*2</f>
        <v>0</v>
      </c>
      <c r="O188" s="106">
        <v>0</v>
      </c>
      <c r="P188" s="106">
        <f t="shared" si="358"/>
        <v>0</v>
      </c>
      <c r="Q188" s="106"/>
      <c r="R188" s="106"/>
      <c r="S188" s="106"/>
      <c r="T188" s="106">
        <f t="shared" si="353"/>
        <v>0</v>
      </c>
      <c r="U188" s="107">
        <f t="shared" si="354"/>
        <v>-1268.8</v>
      </c>
      <c r="V188" s="106">
        <f t="shared" si="355"/>
        <v>0</v>
      </c>
      <c r="W188" s="108"/>
      <c r="X188" s="109"/>
      <c r="Y188" s="24">
        <f t="shared" si="376"/>
        <v>0</v>
      </c>
      <c r="Z188" s="85">
        <f>S188</f>
        <v>0</v>
      </c>
      <c r="AA188" s="29">
        <f t="shared" si="359"/>
        <v>0</v>
      </c>
      <c r="AB188" s="29">
        <f t="shared" si="360"/>
        <v>0</v>
      </c>
      <c r="AC188" s="72"/>
      <c r="AD188" s="72"/>
      <c r="AE188" s="72"/>
      <c r="AF188" s="72"/>
      <c r="AG188" s="72"/>
      <c r="AH188" s="85">
        <f t="shared" si="361"/>
        <v>0</v>
      </c>
      <c r="AI188" s="85"/>
      <c r="AJ188" s="85">
        <f t="shared" si="362"/>
        <v>0</v>
      </c>
      <c r="AK188" s="86"/>
      <c r="AL188" s="133"/>
      <c r="AM188" s="27">
        <f t="shared" si="240"/>
        <v>0</v>
      </c>
      <c r="AN188" s="61">
        <f t="shared" si="241"/>
        <v>0</v>
      </c>
      <c r="AO188" s="62">
        <f t="shared" si="242"/>
        <v>0</v>
      </c>
      <c r="AQ188" s="85"/>
      <c r="AR188" s="85"/>
      <c r="AS188" s="85"/>
      <c r="AT188" s="86">
        <f t="shared" si="373"/>
        <v>0</v>
      </c>
      <c r="AU188" s="71">
        <f>CEILING(BD188,100)</f>
        <v>0</v>
      </c>
      <c r="AV188" s="71">
        <f t="shared" si="363"/>
        <v>0</v>
      </c>
      <c r="AW188" s="71">
        <f t="shared" si="364"/>
        <v>0</v>
      </c>
      <c r="AX188" s="76">
        <f t="shared" si="365"/>
        <v>0</v>
      </c>
      <c r="AY188" s="76">
        <f t="shared" si="366"/>
        <v>0</v>
      </c>
      <c r="BE188" s="71">
        <v>0</v>
      </c>
      <c r="BF188" s="71"/>
      <c r="BG188" s="78">
        <f t="shared" si="367"/>
        <v>0</v>
      </c>
      <c r="BH188" s="71">
        <f t="shared" si="374"/>
        <v>0</v>
      </c>
      <c r="BI188" s="33">
        <f t="shared" si="368"/>
        <v>0</v>
      </c>
      <c r="BJ188" s="33">
        <f t="shared" si="369"/>
        <v>0</v>
      </c>
      <c r="BK188" s="71">
        <f t="shared" si="375"/>
        <v>0</v>
      </c>
      <c r="BL188" s="79">
        <f t="shared" si="370"/>
        <v>0</v>
      </c>
      <c r="BM188" s="79">
        <f t="shared" si="371"/>
        <v>0</v>
      </c>
      <c r="BN188" s="32"/>
      <c r="BO188" s="32"/>
      <c r="BP188" s="71"/>
      <c r="BQ188" s="32">
        <f t="shared" si="243"/>
        <v>0</v>
      </c>
      <c r="BR188" s="32">
        <f t="shared" si="244"/>
        <v>0</v>
      </c>
      <c r="BS188" s="32"/>
      <c r="BT188" s="32"/>
      <c r="BU188" s="33"/>
      <c r="BV188" s="34">
        <f t="shared" si="245"/>
        <v>0</v>
      </c>
      <c r="BY188" s="82"/>
      <c r="BZ188" s="82"/>
      <c r="CC188" s="37"/>
      <c r="CD188" s="71"/>
    </row>
    <row r="189" spans="1:82" s="77" customFormat="1" ht="18" hidden="1" customHeight="1" x14ac:dyDescent="0.25">
      <c r="A189" s="99" t="s">
        <v>58</v>
      </c>
      <c r="B189" s="100"/>
      <c r="C189" s="101"/>
      <c r="D189" s="93"/>
      <c r="E189" s="98"/>
      <c r="F189" s="121" t="s">
        <v>564</v>
      </c>
      <c r="G189" s="106">
        <v>0</v>
      </c>
      <c r="H189" s="106"/>
      <c r="I189" s="106">
        <v>0</v>
      </c>
      <c r="J189" s="70"/>
      <c r="K189" s="106">
        <v>0</v>
      </c>
      <c r="L189" s="106"/>
      <c r="M189" s="106">
        <f>L189</f>
        <v>0</v>
      </c>
      <c r="N189" s="106"/>
      <c r="O189" s="106">
        <v>0</v>
      </c>
      <c r="P189" s="106">
        <f t="shared" si="358"/>
        <v>0</v>
      </c>
      <c r="Q189" s="106"/>
      <c r="R189" s="106"/>
      <c r="S189" s="106"/>
      <c r="T189" s="106">
        <f t="shared" si="353"/>
        <v>0</v>
      </c>
      <c r="U189" s="107">
        <f t="shared" si="354"/>
        <v>0</v>
      </c>
      <c r="V189" s="106">
        <f t="shared" si="355"/>
        <v>0</v>
      </c>
      <c r="W189" s="108"/>
      <c r="X189" s="109"/>
      <c r="Y189" s="24">
        <f t="shared" si="376"/>
        <v>0</v>
      </c>
      <c r="Z189" s="85">
        <f>S189</f>
        <v>0</v>
      </c>
      <c r="AA189" s="29">
        <f t="shared" si="359"/>
        <v>0</v>
      </c>
      <c r="AB189" s="29">
        <f t="shared" si="360"/>
        <v>0</v>
      </c>
      <c r="AC189" s="72"/>
      <c r="AD189" s="72"/>
      <c r="AE189" s="72"/>
      <c r="AF189" s="72"/>
      <c r="AG189" s="72"/>
      <c r="AH189" s="85">
        <f t="shared" si="361"/>
        <v>0</v>
      </c>
      <c r="AI189" s="85"/>
      <c r="AJ189" s="85">
        <f t="shared" si="362"/>
        <v>0</v>
      </c>
      <c r="AK189" s="86"/>
      <c r="AL189" s="133"/>
      <c r="AM189" s="27">
        <f t="shared" si="240"/>
        <v>0</v>
      </c>
      <c r="AN189" s="61">
        <f t="shared" si="241"/>
        <v>0</v>
      </c>
      <c r="AO189" s="62">
        <f t="shared" si="242"/>
        <v>0</v>
      </c>
      <c r="AQ189" s="85"/>
      <c r="AR189" s="85"/>
      <c r="AS189" s="85"/>
      <c r="AT189" s="86">
        <f t="shared" si="373"/>
        <v>0</v>
      </c>
      <c r="AU189" s="71">
        <f>CEILING(BD189,100)</f>
        <v>0</v>
      </c>
      <c r="AV189" s="71">
        <f t="shared" si="363"/>
        <v>0</v>
      </c>
      <c r="AW189" s="71">
        <f t="shared" si="364"/>
        <v>0</v>
      </c>
      <c r="AX189" s="76">
        <f t="shared" si="365"/>
        <v>0</v>
      </c>
      <c r="AY189" s="76">
        <f t="shared" si="366"/>
        <v>0</v>
      </c>
      <c r="BE189" s="71">
        <v>0</v>
      </c>
      <c r="BF189" s="71"/>
      <c r="BG189" s="78">
        <f t="shared" si="367"/>
        <v>0</v>
      </c>
      <c r="BH189" s="71">
        <f t="shared" si="374"/>
        <v>0</v>
      </c>
      <c r="BI189" s="33">
        <f t="shared" si="368"/>
        <v>0</v>
      </c>
      <c r="BJ189" s="33">
        <f t="shared" si="369"/>
        <v>0</v>
      </c>
      <c r="BK189" s="71">
        <f t="shared" si="375"/>
        <v>0</v>
      </c>
      <c r="BL189" s="79">
        <f t="shared" si="370"/>
        <v>0</v>
      </c>
      <c r="BM189" s="79">
        <f t="shared" si="371"/>
        <v>0</v>
      </c>
      <c r="BN189" s="32"/>
      <c r="BO189" s="32"/>
      <c r="BP189" s="71"/>
      <c r="BQ189" s="32">
        <f t="shared" si="243"/>
        <v>0</v>
      </c>
      <c r="BR189" s="32">
        <f t="shared" si="244"/>
        <v>0</v>
      </c>
      <c r="BS189" s="32"/>
      <c r="BT189" s="32"/>
      <c r="BU189" s="33"/>
      <c r="BV189" s="34">
        <f t="shared" si="245"/>
        <v>0</v>
      </c>
      <c r="BY189" s="82"/>
      <c r="BZ189" s="82"/>
      <c r="CC189" s="37"/>
      <c r="CD189" s="71"/>
    </row>
    <row r="190" spans="1:82" s="77" customFormat="1" ht="18" customHeight="1" x14ac:dyDescent="0.25">
      <c r="A190" s="99" t="s">
        <v>58</v>
      </c>
      <c r="B190" s="100"/>
      <c r="C190" s="101"/>
      <c r="D190" s="93"/>
      <c r="E190" s="98"/>
      <c r="F190" s="121" t="s">
        <v>565</v>
      </c>
      <c r="G190" s="106">
        <v>7100</v>
      </c>
      <c r="H190" s="106">
        <v>6300</v>
      </c>
      <c r="I190" s="106">
        <v>7100</v>
      </c>
      <c r="J190" s="70" t="s">
        <v>566</v>
      </c>
      <c r="K190" s="106">
        <v>6262.1</v>
      </c>
      <c r="L190" s="106">
        <v>3172</v>
      </c>
      <c r="M190" s="106">
        <f>L190</f>
        <v>3172</v>
      </c>
      <c r="N190" s="106">
        <f>I190</f>
        <v>7100</v>
      </c>
      <c r="O190" s="106">
        <f>I190</f>
        <v>7100</v>
      </c>
      <c r="P190" s="106">
        <f t="shared" si="358"/>
        <v>0</v>
      </c>
      <c r="Q190" s="106">
        <v>4819</v>
      </c>
      <c r="R190" s="106"/>
      <c r="S190" s="106">
        <f>Q190+1647</f>
        <v>6466</v>
      </c>
      <c r="T190" s="106">
        <f t="shared" si="353"/>
        <v>-634</v>
      </c>
      <c r="U190" s="107">
        <f t="shared" si="354"/>
        <v>203.89999999999964</v>
      </c>
      <c r="V190" s="106">
        <f t="shared" si="355"/>
        <v>-634</v>
      </c>
      <c r="W190" s="108"/>
      <c r="X190" s="109">
        <f>4819+3294-1647+549</f>
        <v>7015</v>
      </c>
      <c r="Y190" s="24">
        <f t="shared" si="376"/>
        <v>549</v>
      </c>
      <c r="Z190" s="85">
        <v>7436</v>
      </c>
      <c r="AA190" s="29">
        <f t="shared" si="359"/>
        <v>336</v>
      </c>
      <c r="AB190" s="29">
        <f t="shared" si="360"/>
        <v>970</v>
      </c>
      <c r="AC190" s="72" t="s">
        <v>309</v>
      </c>
      <c r="AD190" s="72"/>
      <c r="AE190" s="72"/>
      <c r="AF190" s="72"/>
      <c r="AG190" s="72"/>
      <c r="AH190" s="85">
        <f t="shared" si="361"/>
        <v>7436</v>
      </c>
      <c r="AI190" s="85">
        <f>4917.82+(872.91*2)</f>
        <v>6663.6399999999994</v>
      </c>
      <c r="AJ190" s="85">
        <f t="shared" si="362"/>
        <v>0</v>
      </c>
      <c r="AK190" s="86">
        <v>6663.6399999999994</v>
      </c>
      <c r="AL190" s="123">
        <f>5790.73+(3491.64-872.91*3)</f>
        <v>6663.6399999999994</v>
      </c>
      <c r="AM190" s="27">
        <f t="shared" si="240"/>
        <v>0</v>
      </c>
      <c r="AN190" s="61">
        <f t="shared" si="241"/>
        <v>-772.36000000000058</v>
      </c>
      <c r="AO190" s="62">
        <f t="shared" si="242"/>
        <v>-772.36000000000058</v>
      </c>
      <c r="AQ190" s="85" t="s">
        <v>567</v>
      </c>
      <c r="AR190" s="85" t="s">
        <v>567</v>
      </c>
      <c r="AS190" s="85" t="s">
        <v>567</v>
      </c>
      <c r="AT190" s="86">
        <f t="shared" si="373"/>
        <v>6816.9037199999984</v>
      </c>
      <c r="AU190" s="71">
        <v>6663.64</v>
      </c>
      <c r="AV190" s="71">
        <f t="shared" si="363"/>
        <v>6900</v>
      </c>
      <c r="AW190" s="71">
        <f t="shared" si="364"/>
        <v>-536</v>
      </c>
      <c r="AX190" s="76">
        <f t="shared" si="365"/>
        <v>-619.09628000000157</v>
      </c>
      <c r="AY190" s="76">
        <f t="shared" si="366"/>
        <v>153.26371999999901</v>
      </c>
      <c r="BE190" s="71">
        <v>6900</v>
      </c>
      <c r="BF190" s="71">
        <f>5253.32+(872.91*2)</f>
        <v>6999.1399999999994</v>
      </c>
      <c r="BG190" s="78">
        <f t="shared" si="367"/>
        <v>0</v>
      </c>
      <c r="BH190" s="71">
        <f t="shared" si="374"/>
        <v>6999.1399999999994</v>
      </c>
      <c r="BI190" s="33">
        <f t="shared" si="368"/>
        <v>99.139999999999418</v>
      </c>
      <c r="BJ190" s="33">
        <f t="shared" si="369"/>
        <v>335.49999999999909</v>
      </c>
      <c r="BK190" s="71">
        <f>6126.23+872.91</f>
        <v>6999.1399999999994</v>
      </c>
      <c r="BL190" s="79">
        <f t="shared" si="370"/>
        <v>0</v>
      </c>
      <c r="BM190" s="79">
        <f t="shared" si="371"/>
        <v>99.139999999999418</v>
      </c>
      <c r="BN190" s="87" t="s">
        <v>568</v>
      </c>
      <c r="BO190" s="32" t="s">
        <v>568</v>
      </c>
      <c r="BP190" s="71">
        <v>6999.14</v>
      </c>
      <c r="BQ190" s="32">
        <f t="shared" si="243"/>
        <v>0</v>
      </c>
      <c r="BR190" s="32">
        <f t="shared" si="244"/>
        <v>99.140000000000327</v>
      </c>
      <c r="BS190" s="87" t="s">
        <v>568</v>
      </c>
      <c r="BT190" s="87" t="s">
        <v>568</v>
      </c>
      <c r="BU190" s="33"/>
      <c r="BV190" s="34">
        <f t="shared" si="245"/>
        <v>99.139999999999418</v>
      </c>
      <c r="BY190" s="82"/>
      <c r="BZ190" s="82"/>
      <c r="CC190" s="37"/>
      <c r="CD190" s="71">
        <v>6663.64</v>
      </c>
    </row>
    <row r="191" spans="1:82" s="77" customFormat="1" ht="18" hidden="1" customHeight="1" x14ac:dyDescent="0.25">
      <c r="A191" s="99" t="s">
        <v>58</v>
      </c>
      <c r="B191" s="100"/>
      <c r="C191" s="101"/>
      <c r="D191" s="93"/>
      <c r="E191" s="98" t="s">
        <v>569</v>
      </c>
      <c r="F191" s="105"/>
      <c r="G191" s="55">
        <v>0</v>
      </c>
      <c r="H191" s="55"/>
      <c r="I191" s="55">
        <v>0</v>
      </c>
      <c r="J191" s="55">
        <v>0</v>
      </c>
      <c r="K191" s="55">
        <v>0</v>
      </c>
      <c r="L191" s="55">
        <v>0</v>
      </c>
      <c r="M191" s="55">
        <v>0</v>
      </c>
      <c r="N191" s="55">
        <v>0</v>
      </c>
      <c r="O191" s="55">
        <v>0</v>
      </c>
      <c r="P191" s="55">
        <v>0</v>
      </c>
      <c r="Q191" s="55">
        <v>0</v>
      </c>
      <c r="R191" s="55"/>
      <c r="S191" s="55">
        <v>0</v>
      </c>
      <c r="T191" s="55">
        <f t="shared" si="353"/>
        <v>0</v>
      </c>
      <c r="U191" s="56">
        <f t="shared" si="354"/>
        <v>0</v>
      </c>
      <c r="V191" s="55">
        <f t="shared" si="355"/>
        <v>0</v>
      </c>
      <c r="W191" s="57"/>
      <c r="X191" s="58">
        <v>0</v>
      </c>
      <c r="Y191" s="24">
        <f t="shared" si="376"/>
        <v>0</v>
      </c>
      <c r="Z191" s="33">
        <v>0</v>
      </c>
      <c r="AA191" s="110">
        <f t="shared" si="359"/>
        <v>0</v>
      </c>
      <c r="AB191" s="110">
        <f t="shared" si="360"/>
        <v>0</v>
      </c>
      <c r="AC191" s="72"/>
      <c r="AD191" s="72"/>
      <c r="AE191" s="72"/>
      <c r="AF191" s="72"/>
      <c r="AG191" s="72"/>
      <c r="AH191" s="33">
        <v>0</v>
      </c>
      <c r="AI191" s="33"/>
      <c r="AJ191" s="33">
        <f t="shared" si="362"/>
        <v>0</v>
      </c>
      <c r="AK191" s="60"/>
      <c r="AL191" s="33"/>
      <c r="AM191" s="27">
        <f t="shared" si="240"/>
        <v>0</v>
      </c>
      <c r="AN191" s="61">
        <f t="shared" si="241"/>
        <v>0</v>
      </c>
      <c r="AO191" s="62">
        <f t="shared" si="242"/>
        <v>0</v>
      </c>
      <c r="AQ191" s="33"/>
      <c r="AR191" s="33"/>
      <c r="AS191" s="33"/>
      <c r="AT191" s="60"/>
      <c r="AU191" s="33"/>
      <c r="AV191" s="33"/>
      <c r="AW191" s="33">
        <f t="shared" si="364"/>
        <v>0</v>
      </c>
      <c r="AX191" s="76">
        <f t="shared" si="365"/>
        <v>0</v>
      </c>
      <c r="AY191" s="76">
        <f t="shared" si="366"/>
        <v>0</v>
      </c>
      <c r="BE191" s="33"/>
      <c r="BF191" s="33"/>
      <c r="BG191" s="78">
        <f t="shared" si="367"/>
        <v>0</v>
      </c>
      <c r="BH191" s="33"/>
      <c r="BI191" s="33">
        <f t="shared" si="368"/>
        <v>0</v>
      </c>
      <c r="BJ191" s="33">
        <f t="shared" si="369"/>
        <v>0</v>
      </c>
      <c r="BK191" s="33"/>
      <c r="BL191" s="79">
        <f t="shared" si="370"/>
        <v>0</v>
      </c>
      <c r="BM191" s="79">
        <f t="shared" si="371"/>
        <v>0</v>
      </c>
      <c r="BN191" s="32"/>
      <c r="BO191" s="32"/>
      <c r="BP191" s="33"/>
      <c r="BQ191" s="32">
        <f t="shared" si="243"/>
        <v>0</v>
      </c>
      <c r="BR191" s="32">
        <f t="shared" si="244"/>
        <v>0</v>
      </c>
      <c r="BS191" s="32"/>
      <c r="BT191" s="32"/>
      <c r="BU191" s="33"/>
      <c r="BV191" s="34">
        <f t="shared" si="245"/>
        <v>0</v>
      </c>
      <c r="BY191" s="82"/>
      <c r="BZ191" s="82"/>
      <c r="CC191" s="37"/>
      <c r="CD191" s="33"/>
    </row>
    <row r="192" spans="1:82" s="77" customFormat="1" ht="18" hidden="1" customHeight="1" x14ac:dyDescent="0.25">
      <c r="A192" s="99" t="s">
        <v>58</v>
      </c>
      <c r="B192" s="100"/>
      <c r="C192" s="101"/>
      <c r="D192" s="93"/>
      <c r="E192" s="98" t="s">
        <v>570</v>
      </c>
      <c r="F192" s="105"/>
      <c r="G192" s="55">
        <v>0</v>
      </c>
      <c r="H192" s="55">
        <v>0</v>
      </c>
      <c r="I192" s="55">
        <f t="shared" ref="I192:O192" si="377">I193</f>
        <v>0</v>
      </c>
      <c r="J192" s="55">
        <f t="shared" si="377"/>
        <v>0</v>
      </c>
      <c r="K192" s="55">
        <f t="shared" si="377"/>
        <v>0</v>
      </c>
      <c r="L192" s="55">
        <f t="shared" si="377"/>
        <v>0</v>
      </c>
      <c r="M192" s="55">
        <f t="shared" si="377"/>
        <v>0</v>
      </c>
      <c r="N192" s="55">
        <f t="shared" si="377"/>
        <v>0</v>
      </c>
      <c r="O192" s="55">
        <f t="shared" si="377"/>
        <v>0</v>
      </c>
      <c r="P192" s="55">
        <f>N192-I192</f>
        <v>0</v>
      </c>
      <c r="Q192" s="55"/>
      <c r="R192" s="55"/>
      <c r="S192" s="55"/>
      <c r="T192" s="55">
        <f t="shared" si="353"/>
        <v>0</v>
      </c>
      <c r="U192" s="56">
        <f t="shared" si="354"/>
        <v>0</v>
      </c>
      <c r="V192" s="55">
        <f t="shared" si="355"/>
        <v>0</v>
      </c>
      <c r="W192" s="57"/>
      <c r="X192" s="58"/>
      <c r="Y192" s="24">
        <f t="shared" si="376"/>
        <v>0</v>
      </c>
      <c r="Z192" s="33"/>
      <c r="AA192" s="110">
        <f t="shared" si="359"/>
        <v>0</v>
      </c>
      <c r="AB192" s="110">
        <f t="shared" si="360"/>
        <v>0</v>
      </c>
      <c r="AC192" s="72"/>
      <c r="AD192" s="72"/>
      <c r="AE192" s="72"/>
      <c r="AF192" s="72"/>
      <c r="AG192" s="72"/>
      <c r="AH192" s="33"/>
      <c r="AI192" s="33"/>
      <c r="AJ192" s="33">
        <f t="shared" si="362"/>
        <v>0</v>
      </c>
      <c r="AK192" s="60"/>
      <c r="AL192" s="33"/>
      <c r="AM192" s="27">
        <f t="shared" si="240"/>
        <v>0</v>
      </c>
      <c r="AN192" s="61">
        <f t="shared" si="241"/>
        <v>0</v>
      </c>
      <c r="AO192" s="62">
        <f t="shared" si="242"/>
        <v>0</v>
      </c>
      <c r="AQ192" s="33"/>
      <c r="AR192" s="33"/>
      <c r="AS192" s="33"/>
      <c r="AT192" s="60"/>
      <c r="AU192" s="33"/>
      <c r="AV192" s="33"/>
      <c r="AW192" s="33">
        <f t="shared" si="364"/>
        <v>0</v>
      </c>
      <c r="AX192" s="76">
        <f t="shared" si="365"/>
        <v>0</v>
      </c>
      <c r="AY192" s="76">
        <f t="shared" si="366"/>
        <v>0</v>
      </c>
      <c r="BE192" s="33"/>
      <c r="BF192" s="33"/>
      <c r="BG192" s="78">
        <f t="shared" si="367"/>
        <v>0</v>
      </c>
      <c r="BH192" s="33"/>
      <c r="BI192" s="33">
        <f t="shared" si="368"/>
        <v>0</v>
      </c>
      <c r="BJ192" s="33">
        <f t="shared" si="369"/>
        <v>0</v>
      </c>
      <c r="BK192" s="33"/>
      <c r="BL192" s="79">
        <f t="shared" si="370"/>
        <v>0</v>
      </c>
      <c r="BM192" s="79">
        <f t="shared" si="371"/>
        <v>0</v>
      </c>
      <c r="BN192" s="32"/>
      <c r="BO192" s="32"/>
      <c r="BP192" s="33"/>
      <c r="BQ192" s="32">
        <f t="shared" si="243"/>
        <v>0</v>
      </c>
      <c r="BR192" s="32">
        <f t="shared" si="244"/>
        <v>0</v>
      </c>
      <c r="BS192" s="32"/>
      <c r="BT192" s="32"/>
      <c r="BU192" s="33"/>
      <c r="BV192" s="34">
        <f t="shared" si="245"/>
        <v>0</v>
      </c>
      <c r="BY192" s="82"/>
      <c r="BZ192" s="82"/>
      <c r="CC192" s="37"/>
      <c r="CD192" s="33"/>
    </row>
    <row r="193" spans="1:82" s="77" customFormat="1" ht="18" hidden="1" customHeight="1" x14ac:dyDescent="0.25">
      <c r="A193" s="99" t="s">
        <v>58</v>
      </c>
      <c r="B193" s="100"/>
      <c r="C193" s="101"/>
      <c r="D193" s="93"/>
      <c r="E193" s="98"/>
      <c r="F193" s="121" t="s">
        <v>570</v>
      </c>
      <c r="G193" s="83">
        <v>0</v>
      </c>
      <c r="H193" s="83"/>
      <c r="I193" s="83">
        <v>0</v>
      </c>
      <c r="J193" s="83">
        <v>0</v>
      </c>
      <c r="K193" s="83">
        <v>0</v>
      </c>
      <c r="L193" s="83">
        <v>0</v>
      </c>
      <c r="M193" s="83">
        <v>0</v>
      </c>
      <c r="N193" s="83">
        <v>0</v>
      </c>
      <c r="O193" s="83">
        <v>0</v>
      </c>
      <c r="P193" s="83">
        <f>N193-I193</f>
        <v>0</v>
      </c>
      <c r="Q193" s="83"/>
      <c r="R193" s="83"/>
      <c r="S193" s="83">
        <v>0</v>
      </c>
      <c r="T193" s="83">
        <f t="shared" si="353"/>
        <v>0</v>
      </c>
      <c r="U193" s="107">
        <f t="shared" si="354"/>
        <v>0</v>
      </c>
      <c r="V193" s="83">
        <f t="shared" si="355"/>
        <v>0</v>
      </c>
      <c r="W193" s="84"/>
      <c r="X193" s="109">
        <v>0</v>
      </c>
      <c r="Y193" s="24">
        <f t="shared" si="376"/>
        <v>0</v>
      </c>
      <c r="Z193" s="85">
        <f>S193</f>
        <v>0</v>
      </c>
      <c r="AA193" s="110">
        <f t="shared" si="359"/>
        <v>0</v>
      </c>
      <c r="AB193" s="110">
        <f t="shared" si="360"/>
        <v>0</v>
      </c>
      <c r="AC193" s="72"/>
      <c r="AD193" s="72"/>
      <c r="AE193" s="72"/>
      <c r="AF193" s="72"/>
      <c r="AG193" s="72"/>
      <c r="AH193" s="85">
        <f>AA193</f>
        <v>0</v>
      </c>
      <c r="AI193" s="85"/>
      <c r="AJ193" s="85">
        <f t="shared" si="362"/>
        <v>0</v>
      </c>
      <c r="AK193" s="86"/>
      <c r="AL193" s="85"/>
      <c r="AM193" s="27">
        <f t="shared" si="240"/>
        <v>0</v>
      </c>
      <c r="AN193" s="61">
        <f t="shared" si="241"/>
        <v>0</v>
      </c>
      <c r="AO193" s="62">
        <f t="shared" si="242"/>
        <v>0</v>
      </c>
      <c r="AQ193" s="85"/>
      <c r="AR193" s="85"/>
      <c r="AS193" s="85"/>
      <c r="AT193" s="86"/>
      <c r="AU193" s="85"/>
      <c r="AV193" s="85"/>
      <c r="AW193" s="85">
        <f t="shared" si="364"/>
        <v>0</v>
      </c>
      <c r="AX193" s="76">
        <f t="shared" si="365"/>
        <v>0</v>
      </c>
      <c r="AY193" s="76">
        <f t="shared" si="366"/>
        <v>0</v>
      </c>
      <c r="BE193" s="85"/>
      <c r="BF193" s="85"/>
      <c r="BG193" s="78">
        <f t="shared" si="367"/>
        <v>0</v>
      </c>
      <c r="BH193" s="85"/>
      <c r="BI193" s="33">
        <f t="shared" si="368"/>
        <v>0</v>
      </c>
      <c r="BJ193" s="33">
        <f t="shared" si="369"/>
        <v>0</v>
      </c>
      <c r="BK193" s="85"/>
      <c r="BL193" s="79">
        <f t="shared" si="370"/>
        <v>0</v>
      </c>
      <c r="BM193" s="79">
        <f t="shared" si="371"/>
        <v>0</v>
      </c>
      <c r="BN193" s="32"/>
      <c r="BO193" s="32"/>
      <c r="BP193" s="85"/>
      <c r="BQ193" s="32">
        <f t="shared" si="243"/>
        <v>0</v>
      </c>
      <c r="BR193" s="32">
        <f t="shared" si="244"/>
        <v>0</v>
      </c>
      <c r="BS193" s="32"/>
      <c r="BT193" s="32"/>
      <c r="BU193" s="33"/>
      <c r="BV193" s="34">
        <f t="shared" si="245"/>
        <v>0</v>
      </c>
      <c r="BY193" s="82"/>
      <c r="BZ193" s="82"/>
      <c r="CC193" s="37"/>
      <c r="CD193" s="85"/>
    </row>
    <row r="194" spans="1:82" s="77" customFormat="1" ht="18" hidden="1" customHeight="1" x14ac:dyDescent="0.25">
      <c r="A194" s="99"/>
      <c r="B194" s="100"/>
      <c r="C194" s="101"/>
      <c r="D194" s="93"/>
      <c r="E194" s="98" t="s">
        <v>571</v>
      </c>
      <c r="F194" s="105"/>
      <c r="G194" s="55">
        <v>800</v>
      </c>
      <c r="H194" s="55">
        <v>0</v>
      </c>
      <c r="I194" s="55">
        <f t="shared" ref="I194:Q194" si="378">I195</f>
        <v>800</v>
      </c>
      <c r="J194" s="55">
        <f t="shared" si="378"/>
        <v>0</v>
      </c>
      <c r="K194" s="55">
        <f t="shared" si="378"/>
        <v>0</v>
      </c>
      <c r="L194" s="55">
        <f t="shared" si="378"/>
        <v>0</v>
      </c>
      <c r="M194" s="55">
        <f t="shared" si="378"/>
        <v>400</v>
      </c>
      <c r="N194" s="55">
        <f t="shared" si="378"/>
        <v>800</v>
      </c>
      <c r="O194" s="55">
        <f t="shared" si="378"/>
        <v>800</v>
      </c>
      <c r="P194" s="55">
        <f t="shared" si="378"/>
        <v>0</v>
      </c>
      <c r="Q194" s="55">
        <f t="shared" si="378"/>
        <v>0</v>
      </c>
      <c r="R194" s="55"/>
      <c r="S194" s="55">
        <v>0</v>
      </c>
      <c r="T194" s="55">
        <f t="shared" si="353"/>
        <v>-800</v>
      </c>
      <c r="U194" s="56">
        <f t="shared" si="354"/>
        <v>0</v>
      </c>
      <c r="V194" s="55">
        <f t="shared" si="355"/>
        <v>-800</v>
      </c>
      <c r="W194" s="57"/>
      <c r="X194" s="58">
        <v>0</v>
      </c>
      <c r="Y194" s="24">
        <f t="shared" si="376"/>
        <v>0</v>
      </c>
      <c r="Z194" s="33">
        <f>Z195</f>
        <v>0</v>
      </c>
      <c r="AA194" s="110">
        <f t="shared" si="359"/>
        <v>-800</v>
      </c>
      <c r="AB194" s="110">
        <f t="shared" si="360"/>
        <v>0</v>
      </c>
      <c r="AC194" s="72"/>
      <c r="AD194" s="72"/>
      <c r="AE194" s="72"/>
      <c r="AF194" s="72"/>
      <c r="AG194" s="72"/>
      <c r="AH194" s="33">
        <v>0</v>
      </c>
      <c r="AI194" s="33"/>
      <c r="AJ194" s="33">
        <f t="shared" si="362"/>
        <v>0</v>
      </c>
      <c r="AK194" s="60">
        <f>AK195</f>
        <v>0</v>
      </c>
      <c r="AL194" s="33">
        <f>AL195</f>
        <v>0</v>
      </c>
      <c r="AM194" s="27">
        <f t="shared" ref="AM194:AM257" si="379">AL194-AI194</f>
        <v>0</v>
      </c>
      <c r="AN194" s="61">
        <f t="shared" ref="AN194:AN257" si="380">AL194-Z194</f>
        <v>0</v>
      </c>
      <c r="AO194" s="62">
        <f t="shared" ref="AO194:AO257" si="381">AI194-Z194</f>
        <v>0</v>
      </c>
      <c r="AQ194" s="33"/>
      <c r="AR194" s="33"/>
      <c r="AS194" s="33"/>
      <c r="AT194" s="60">
        <f t="shared" ref="AT194:BP194" si="382">AT195</f>
        <v>720</v>
      </c>
      <c r="AU194" s="33">
        <f t="shared" si="382"/>
        <v>0</v>
      </c>
      <c r="AV194" s="33">
        <f t="shared" si="382"/>
        <v>800</v>
      </c>
      <c r="AW194" s="33">
        <f t="shared" si="382"/>
        <v>800</v>
      </c>
      <c r="AX194" s="33">
        <f t="shared" si="382"/>
        <v>720</v>
      </c>
      <c r="AY194" s="33">
        <f t="shared" si="382"/>
        <v>720</v>
      </c>
      <c r="AZ194" s="33">
        <f t="shared" si="382"/>
        <v>0</v>
      </c>
      <c r="BA194" s="33">
        <f t="shared" si="382"/>
        <v>0</v>
      </c>
      <c r="BB194" s="33">
        <f t="shared" si="382"/>
        <v>0</v>
      </c>
      <c r="BC194" s="33">
        <f t="shared" si="382"/>
        <v>0</v>
      </c>
      <c r="BD194" s="33">
        <f t="shared" si="382"/>
        <v>0</v>
      </c>
      <c r="BE194" s="33">
        <f t="shared" si="382"/>
        <v>800</v>
      </c>
      <c r="BF194" s="33">
        <f t="shared" si="382"/>
        <v>0</v>
      </c>
      <c r="BG194" s="33">
        <f t="shared" si="382"/>
        <v>0</v>
      </c>
      <c r="BH194" s="33">
        <f t="shared" si="382"/>
        <v>0</v>
      </c>
      <c r="BI194" s="33">
        <f t="shared" si="382"/>
        <v>-800</v>
      </c>
      <c r="BJ194" s="33">
        <f t="shared" si="382"/>
        <v>0</v>
      </c>
      <c r="BK194" s="33">
        <f t="shared" si="382"/>
        <v>0</v>
      </c>
      <c r="BL194" s="33">
        <f t="shared" si="382"/>
        <v>0</v>
      </c>
      <c r="BM194" s="33">
        <f t="shared" si="382"/>
        <v>-800</v>
      </c>
      <c r="BN194" s="33" t="str">
        <f t="shared" si="382"/>
        <v>per anno 2024 non previsto</v>
      </c>
      <c r="BO194" s="33" t="str">
        <f t="shared" si="382"/>
        <v>per anno 2024 non previsto</v>
      </c>
      <c r="BP194" s="33">
        <f t="shared" si="382"/>
        <v>0</v>
      </c>
      <c r="BQ194" s="32">
        <f t="shared" ref="BQ194:BQ257" si="383">BP194-BK194</f>
        <v>0</v>
      </c>
      <c r="BR194" s="32">
        <f t="shared" ref="BR194:BR257" si="384">BP194-AV194</f>
        <v>-800</v>
      </c>
      <c r="BS194" s="32"/>
      <c r="BT194" s="32"/>
      <c r="BU194" s="33"/>
      <c r="BV194" s="34">
        <f t="shared" ref="BV194:BV257" si="385">BH194-AV194</f>
        <v>-800</v>
      </c>
      <c r="BY194" s="82"/>
      <c r="BZ194" s="82"/>
      <c r="CC194" s="37"/>
      <c r="CD194" s="33">
        <f>CD195</f>
        <v>0</v>
      </c>
    </row>
    <row r="195" spans="1:82" s="77" customFormat="1" ht="18" hidden="1" customHeight="1" x14ac:dyDescent="0.25">
      <c r="A195" s="99"/>
      <c r="B195" s="100"/>
      <c r="C195" s="101"/>
      <c r="D195" s="93"/>
      <c r="E195" s="98"/>
      <c r="F195" s="121" t="s">
        <v>572</v>
      </c>
      <c r="G195" s="106">
        <v>800</v>
      </c>
      <c r="H195" s="106">
        <v>0</v>
      </c>
      <c r="I195" s="106">
        <v>800</v>
      </c>
      <c r="J195" s="70"/>
      <c r="K195" s="106">
        <v>0</v>
      </c>
      <c r="L195" s="106">
        <v>0</v>
      </c>
      <c r="M195" s="106">
        <v>400</v>
      </c>
      <c r="N195" s="106">
        <v>800</v>
      </c>
      <c r="O195" s="106">
        <v>800</v>
      </c>
      <c r="P195" s="106">
        <f>N195-I195</f>
        <v>0</v>
      </c>
      <c r="Q195" s="106">
        <v>0</v>
      </c>
      <c r="R195" s="106"/>
      <c r="S195" s="106"/>
      <c r="T195" s="106">
        <f t="shared" si="353"/>
        <v>-800</v>
      </c>
      <c r="U195" s="107">
        <f t="shared" si="354"/>
        <v>0</v>
      </c>
      <c r="V195" s="106">
        <f t="shared" si="355"/>
        <v>-800</v>
      </c>
      <c r="W195" s="108"/>
      <c r="X195" s="109">
        <v>0</v>
      </c>
      <c r="Y195" s="24">
        <f t="shared" si="376"/>
        <v>0</v>
      </c>
      <c r="Z195" s="85">
        <v>0</v>
      </c>
      <c r="AA195" s="29">
        <f t="shared" si="359"/>
        <v>-800</v>
      </c>
      <c r="AB195" s="29">
        <f t="shared" si="360"/>
        <v>0</v>
      </c>
      <c r="AC195" s="72"/>
      <c r="AD195" s="72"/>
      <c r="AE195" s="72"/>
      <c r="AF195" s="72"/>
      <c r="AG195" s="72"/>
      <c r="AH195" s="85"/>
      <c r="AI195" s="85"/>
      <c r="AJ195" s="85">
        <f t="shared" si="362"/>
        <v>0</v>
      </c>
      <c r="AK195" s="86">
        <v>0</v>
      </c>
      <c r="AL195" s="85">
        <v>0</v>
      </c>
      <c r="AM195" s="27">
        <f t="shared" si="379"/>
        <v>0</v>
      </c>
      <c r="AN195" s="61">
        <f t="shared" si="380"/>
        <v>0</v>
      </c>
      <c r="AO195" s="62">
        <f t="shared" si="381"/>
        <v>0</v>
      </c>
      <c r="AQ195" s="85"/>
      <c r="AR195" s="85"/>
      <c r="AS195" s="85"/>
      <c r="AT195" s="86">
        <v>720</v>
      </c>
      <c r="AU195" s="71">
        <f>CEILING(BD195,100)</f>
        <v>0</v>
      </c>
      <c r="AV195" s="71">
        <f>CEILING(AT195,100)</f>
        <v>800</v>
      </c>
      <c r="AW195" s="71">
        <f>AV195-Z195</f>
        <v>800</v>
      </c>
      <c r="AX195" s="76">
        <f>AT195-Z195</f>
        <v>720</v>
      </c>
      <c r="AY195" s="76">
        <f>AT195-AL195</f>
        <v>720</v>
      </c>
      <c r="BE195" s="71">
        <v>800</v>
      </c>
      <c r="BF195" s="71">
        <v>0</v>
      </c>
      <c r="BG195" s="78">
        <f>BE195-AV195</f>
        <v>0</v>
      </c>
      <c r="BH195" s="71">
        <v>0</v>
      </c>
      <c r="BI195" s="33">
        <f>BF195-AV195</f>
        <v>-800</v>
      </c>
      <c r="BJ195" s="33">
        <f>BF195-AU195</f>
        <v>0</v>
      </c>
      <c r="BK195" s="71">
        <f>BH195</f>
        <v>0</v>
      </c>
      <c r="BL195" s="79">
        <f>BK195-BH195</f>
        <v>0</v>
      </c>
      <c r="BM195" s="79">
        <f>BK195-AV195</f>
        <v>-800</v>
      </c>
      <c r="BN195" s="87" t="s">
        <v>573</v>
      </c>
      <c r="BO195" s="32" t="s">
        <v>573</v>
      </c>
      <c r="BP195" s="71">
        <v>0</v>
      </c>
      <c r="BQ195" s="32">
        <f t="shared" si="383"/>
        <v>0</v>
      </c>
      <c r="BR195" s="32">
        <f t="shared" si="384"/>
        <v>-800</v>
      </c>
      <c r="BS195" s="87" t="s">
        <v>573</v>
      </c>
      <c r="BT195" s="87" t="s">
        <v>573</v>
      </c>
      <c r="BU195" s="33"/>
      <c r="BV195" s="34">
        <f t="shared" si="385"/>
        <v>-800</v>
      </c>
      <c r="BY195" s="82"/>
      <c r="BZ195" s="82"/>
      <c r="CC195" s="37"/>
      <c r="CD195" s="71">
        <v>0</v>
      </c>
    </row>
    <row r="196" spans="1:82" s="35" customFormat="1" ht="18" customHeight="1" x14ac:dyDescent="0.25">
      <c r="A196" s="38" t="s">
        <v>58</v>
      </c>
      <c r="B196" s="39"/>
      <c r="C196" s="93"/>
      <c r="D196" s="93" t="s">
        <v>574</v>
      </c>
      <c r="E196" s="103"/>
      <c r="F196" s="104"/>
      <c r="G196" s="46">
        <v>44500</v>
      </c>
      <c r="H196" s="46">
        <v>44000</v>
      </c>
      <c r="I196" s="46">
        <f t="shared" ref="I196:Q196" si="386">I197</f>
        <v>44500</v>
      </c>
      <c r="J196" s="46">
        <f t="shared" si="386"/>
        <v>0</v>
      </c>
      <c r="K196" s="46">
        <f t="shared" si="386"/>
        <v>42350.06</v>
      </c>
      <c r="L196" s="46">
        <f t="shared" si="386"/>
        <v>17027.66</v>
      </c>
      <c r="M196" s="46">
        <f t="shared" si="386"/>
        <v>20777.66</v>
      </c>
      <c r="N196" s="46">
        <f t="shared" si="386"/>
        <v>44500</v>
      </c>
      <c r="O196" s="46">
        <f t="shared" si="386"/>
        <v>44500</v>
      </c>
      <c r="P196" s="46">
        <f t="shared" si="386"/>
        <v>0</v>
      </c>
      <c r="Q196" s="46">
        <f t="shared" si="386"/>
        <v>26081.489999999998</v>
      </c>
      <c r="R196" s="46"/>
      <c r="S196" s="46">
        <f>S197</f>
        <v>42800</v>
      </c>
      <c r="T196" s="46">
        <f>T197</f>
        <v>-1700</v>
      </c>
      <c r="U196" s="46">
        <f>U197</f>
        <v>449.9400000000029</v>
      </c>
      <c r="V196" s="46">
        <f>V197</f>
        <v>-1700</v>
      </c>
      <c r="W196" s="47"/>
      <c r="X196" s="23">
        <f>X197</f>
        <v>41442.94</v>
      </c>
      <c r="Y196" s="24">
        <f t="shared" si="376"/>
        <v>-1357.0599999999977</v>
      </c>
      <c r="Z196" s="48">
        <f t="shared" ref="Z196:AL196" si="387">Z197</f>
        <v>41443</v>
      </c>
      <c r="AA196" s="48">
        <f t="shared" si="387"/>
        <v>-3057</v>
      </c>
      <c r="AB196" s="48">
        <f t="shared" si="387"/>
        <v>-1357</v>
      </c>
      <c r="AC196" s="48">
        <f t="shared" si="387"/>
        <v>0</v>
      </c>
      <c r="AD196" s="48">
        <f t="shared" si="387"/>
        <v>0</v>
      </c>
      <c r="AE196" s="48">
        <f t="shared" si="387"/>
        <v>0</v>
      </c>
      <c r="AF196" s="48">
        <f t="shared" si="387"/>
        <v>0</v>
      </c>
      <c r="AG196" s="48">
        <f t="shared" si="387"/>
        <v>0</v>
      </c>
      <c r="AH196" s="48">
        <f t="shared" si="387"/>
        <v>41443</v>
      </c>
      <c r="AI196" s="48">
        <f t="shared" si="387"/>
        <v>44175.33</v>
      </c>
      <c r="AJ196" s="48">
        <f t="shared" si="387"/>
        <v>0</v>
      </c>
      <c r="AK196" s="49">
        <f t="shared" si="387"/>
        <v>44175.33</v>
      </c>
      <c r="AL196" s="48">
        <f t="shared" si="387"/>
        <v>43976.89</v>
      </c>
      <c r="AM196" s="27">
        <f t="shared" si="379"/>
        <v>-198.44000000000233</v>
      </c>
      <c r="AN196" s="28">
        <f t="shared" si="380"/>
        <v>2533.8899999999994</v>
      </c>
      <c r="AO196" s="50">
        <f t="shared" si="381"/>
        <v>2732.3300000000017</v>
      </c>
      <c r="AQ196" s="48"/>
      <c r="AR196" s="48"/>
      <c r="AS196" s="48"/>
      <c r="AT196" s="49">
        <f t="shared" ref="AT196:BP196" si="388">AT197</f>
        <v>44900</v>
      </c>
      <c r="AU196" s="48">
        <f t="shared" si="388"/>
        <v>43865.42</v>
      </c>
      <c r="AV196" s="48">
        <f t="shared" si="388"/>
        <v>44900</v>
      </c>
      <c r="AW196" s="48">
        <f t="shared" si="388"/>
        <v>3457</v>
      </c>
      <c r="AX196" s="48">
        <f t="shared" si="388"/>
        <v>3457</v>
      </c>
      <c r="AY196" s="48">
        <f t="shared" si="388"/>
        <v>923.10999999999945</v>
      </c>
      <c r="AZ196" s="48">
        <f t="shared" si="388"/>
        <v>0</v>
      </c>
      <c r="BA196" s="48">
        <f t="shared" si="388"/>
        <v>0</v>
      </c>
      <c r="BB196" s="48">
        <f t="shared" si="388"/>
        <v>0</v>
      </c>
      <c r="BC196" s="48">
        <f t="shared" si="388"/>
        <v>0</v>
      </c>
      <c r="BD196" s="48">
        <f t="shared" si="388"/>
        <v>0</v>
      </c>
      <c r="BE196" s="48">
        <f t="shared" si="388"/>
        <v>44900</v>
      </c>
      <c r="BF196" s="48">
        <f t="shared" si="388"/>
        <v>44900</v>
      </c>
      <c r="BG196" s="48">
        <f t="shared" si="388"/>
        <v>0</v>
      </c>
      <c r="BH196" s="48">
        <f t="shared" si="388"/>
        <v>44900</v>
      </c>
      <c r="BI196" s="48">
        <f t="shared" si="388"/>
        <v>0</v>
      </c>
      <c r="BJ196" s="48">
        <f t="shared" si="388"/>
        <v>1034.5799999999992</v>
      </c>
      <c r="BK196" s="48">
        <f t="shared" si="388"/>
        <v>44567.82</v>
      </c>
      <c r="BL196" s="48">
        <f t="shared" si="388"/>
        <v>-332.18000000000029</v>
      </c>
      <c r="BM196" s="48">
        <f t="shared" si="388"/>
        <v>-332.18000000000029</v>
      </c>
      <c r="BN196" s="48">
        <f t="shared" si="388"/>
        <v>0</v>
      </c>
      <c r="BO196" s="48">
        <f t="shared" si="388"/>
        <v>0</v>
      </c>
      <c r="BP196" s="48">
        <f t="shared" si="388"/>
        <v>44303.229999999996</v>
      </c>
      <c r="BQ196" s="32">
        <f t="shared" si="383"/>
        <v>-264.59000000000378</v>
      </c>
      <c r="BR196" s="32">
        <f t="shared" si="384"/>
        <v>-596.77000000000407</v>
      </c>
      <c r="BS196" s="32"/>
      <c r="BT196" s="32"/>
      <c r="BU196" s="33"/>
      <c r="BV196" s="34">
        <f t="shared" si="385"/>
        <v>0</v>
      </c>
      <c r="BY196" s="36"/>
      <c r="BZ196" s="36"/>
      <c r="CC196" s="37"/>
      <c r="CD196" s="48">
        <f>CD197</f>
        <v>43865.42</v>
      </c>
    </row>
    <row r="197" spans="1:82" s="63" customFormat="1" ht="18" customHeight="1" x14ac:dyDescent="0.25">
      <c r="A197" s="96" t="s">
        <v>58</v>
      </c>
      <c r="B197" s="97"/>
      <c r="C197" s="98"/>
      <c r="D197" s="103"/>
      <c r="E197" s="98" t="s">
        <v>575</v>
      </c>
      <c r="F197" s="105"/>
      <c r="G197" s="55">
        <v>44500</v>
      </c>
      <c r="H197" s="55">
        <v>44000</v>
      </c>
      <c r="I197" s="55">
        <f t="shared" ref="I197:Q197" si="389">SUM(I198:I205)</f>
        <v>44500</v>
      </c>
      <c r="J197" s="55">
        <f t="shared" si="389"/>
        <v>0</v>
      </c>
      <c r="K197" s="55">
        <f t="shared" si="389"/>
        <v>42350.06</v>
      </c>
      <c r="L197" s="55">
        <f t="shared" si="389"/>
        <v>17027.66</v>
      </c>
      <c r="M197" s="55">
        <f t="shared" si="389"/>
        <v>20777.66</v>
      </c>
      <c r="N197" s="55">
        <f t="shared" si="389"/>
        <v>44500</v>
      </c>
      <c r="O197" s="55">
        <f t="shared" si="389"/>
        <v>44500</v>
      </c>
      <c r="P197" s="55">
        <f t="shared" si="389"/>
        <v>0</v>
      </c>
      <c r="Q197" s="55">
        <f t="shared" si="389"/>
        <v>26081.489999999998</v>
      </c>
      <c r="R197" s="55"/>
      <c r="S197" s="55">
        <f>SUM(S198:S205)</f>
        <v>42800</v>
      </c>
      <c r="T197" s="55">
        <f>SUM(T198:T205)</f>
        <v>-1700</v>
      </c>
      <c r="U197" s="55">
        <f>SUM(U198:U205)</f>
        <v>449.9400000000029</v>
      </c>
      <c r="V197" s="55">
        <f>SUM(V198:V205)</f>
        <v>-1700</v>
      </c>
      <c r="W197" s="57"/>
      <c r="X197" s="58">
        <f>SUM(X198:X205)</f>
        <v>41442.94</v>
      </c>
      <c r="Y197" s="59">
        <f t="shared" si="376"/>
        <v>-1357.0599999999977</v>
      </c>
      <c r="Z197" s="33">
        <f t="shared" ref="Z197:AL197" si="390">SUM(Z198:Z205)</f>
        <v>41443</v>
      </c>
      <c r="AA197" s="33">
        <f t="shared" si="390"/>
        <v>-3057</v>
      </c>
      <c r="AB197" s="33">
        <f t="shared" si="390"/>
        <v>-1357</v>
      </c>
      <c r="AC197" s="33">
        <f t="shared" si="390"/>
        <v>0</v>
      </c>
      <c r="AD197" s="33">
        <f t="shared" si="390"/>
        <v>0</v>
      </c>
      <c r="AE197" s="33">
        <f t="shared" si="390"/>
        <v>0</v>
      </c>
      <c r="AF197" s="33">
        <f t="shared" si="390"/>
        <v>0</v>
      </c>
      <c r="AG197" s="33">
        <f t="shared" si="390"/>
        <v>0</v>
      </c>
      <c r="AH197" s="33">
        <f t="shared" si="390"/>
        <v>41443</v>
      </c>
      <c r="AI197" s="33">
        <f t="shared" si="390"/>
        <v>44175.33</v>
      </c>
      <c r="AJ197" s="33">
        <f t="shared" si="390"/>
        <v>0</v>
      </c>
      <c r="AK197" s="60">
        <f t="shared" si="390"/>
        <v>44175.33</v>
      </c>
      <c r="AL197" s="33">
        <f t="shared" si="390"/>
        <v>43976.89</v>
      </c>
      <c r="AM197" s="27">
        <f t="shared" si="379"/>
        <v>-198.44000000000233</v>
      </c>
      <c r="AN197" s="61">
        <f t="shared" si="380"/>
        <v>2533.8899999999994</v>
      </c>
      <c r="AO197" s="62">
        <f t="shared" si="381"/>
        <v>2732.3300000000017</v>
      </c>
      <c r="AQ197" s="33"/>
      <c r="AR197" s="33"/>
      <c r="AS197" s="33"/>
      <c r="AT197" s="60">
        <f t="shared" ref="AT197:BP197" si="391">SUM(AT198:AT205)</f>
        <v>44900</v>
      </c>
      <c r="AU197" s="33">
        <f t="shared" si="391"/>
        <v>43865.42</v>
      </c>
      <c r="AV197" s="33">
        <f t="shared" si="391"/>
        <v>44900</v>
      </c>
      <c r="AW197" s="33">
        <f t="shared" si="391"/>
        <v>3457</v>
      </c>
      <c r="AX197" s="33">
        <f t="shared" si="391"/>
        <v>3457</v>
      </c>
      <c r="AY197" s="33">
        <f t="shared" si="391"/>
        <v>923.10999999999945</v>
      </c>
      <c r="AZ197" s="33">
        <f t="shared" si="391"/>
        <v>0</v>
      </c>
      <c r="BA197" s="33">
        <f t="shared" si="391"/>
        <v>0</v>
      </c>
      <c r="BB197" s="33">
        <f t="shared" si="391"/>
        <v>0</v>
      </c>
      <c r="BC197" s="33">
        <f t="shared" si="391"/>
        <v>0</v>
      </c>
      <c r="BD197" s="33">
        <f t="shared" si="391"/>
        <v>0</v>
      </c>
      <c r="BE197" s="33">
        <f t="shared" si="391"/>
        <v>44900</v>
      </c>
      <c r="BF197" s="33">
        <f t="shared" si="391"/>
        <v>44900</v>
      </c>
      <c r="BG197" s="33">
        <f t="shared" si="391"/>
        <v>0</v>
      </c>
      <c r="BH197" s="33">
        <f t="shared" si="391"/>
        <v>44900</v>
      </c>
      <c r="BI197" s="33">
        <f t="shared" si="391"/>
        <v>0</v>
      </c>
      <c r="BJ197" s="33">
        <f t="shared" si="391"/>
        <v>1034.5799999999992</v>
      </c>
      <c r="BK197" s="33">
        <f t="shared" si="391"/>
        <v>44567.82</v>
      </c>
      <c r="BL197" s="33">
        <f t="shared" si="391"/>
        <v>-332.18000000000029</v>
      </c>
      <c r="BM197" s="33">
        <f t="shared" si="391"/>
        <v>-332.18000000000029</v>
      </c>
      <c r="BN197" s="33">
        <f t="shared" si="391"/>
        <v>0</v>
      </c>
      <c r="BO197" s="33">
        <f t="shared" si="391"/>
        <v>0</v>
      </c>
      <c r="BP197" s="33">
        <f t="shared" si="391"/>
        <v>44303.229999999996</v>
      </c>
      <c r="BQ197" s="32">
        <f t="shared" si="383"/>
        <v>-264.59000000000378</v>
      </c>
      <c r="BR197" s="32">
        <f t="shared" si="384"/>
        <v>-596.77000000000407</v>
      </c>
      <c r="BS197" s="32"/>
      <c r="BT197" s="32"/>
      <c r="BU197" s="33"/>
      <c r="BV197" s="34">
        <f t="shared" si="385"/>
        <v>0</v>
      </c>
      <c r="BY197" s="64"/>
      <c r="BZ197" s="64"/>
      <c r="CC197" s="37"/>
      <c r="CD197" s="33">
        <f>SUM(CD198:CD205)</f>
        <v>43865.42</v>
      </c>
    </row>
    <row r="198" spans="1:82" s="77" customFormat="1" ht="18" customHeight="1" x14ac:dyDescent="0.25">
      <c r="A198" s="99" t="s">
        <v>58</v>
      </c>
      <c r="B198" s="100"/>
      <c r="C198" s="101"/>
      <c r="D198" s="93"/>
      <c r="E198" s="98"/>
      <c r="F198" s="121" t="s">
        <v>576</v>
      </c>
      <c r="G198" s="106">
        <v>35700</v>
      </c>
      <c r="H198" s="106">
        <v>35700</v>
      </c>
      <c r="I198" s="106">
        <v>35700</v>
      </c>
      <c r="J198" s="70" t="s">
        <v>577</v>
      </c>
      <c r="K198" s="106">
        <v>34442.519999999997</v>
      </c>
      <c r="L198" s="106">
        <v>16621.259999999998</v>
      </c>
      <c r="M198" s="106">
        <f>L198</f>
        <v>16621.259999999998</v>
      </c>
      <c r="N198" s="106">
        <f>I198</f>
        <v>35700</v>
      </c>
      <c r="O198" s="106">
        <f>I198</f>
        <v>35700</v>
      </c>
      <c r="P198" s="106">
        <f t="shared" ref="P198:P205" si="392">N198-I198</f>
        <v>0</v>
      </c>
      <c r="Q198" s="106">
        <v>25431.89</v>
      </c>
      <c r="R198" s="106"/>
      <c r="S198" s="106">
        <v>34500</v>
      </c>
      <c r="T198" s="106">
        <f t="shared" ref="T198:T205" si="393">S198-I198</f>
        <v>-1200</v>
      </c>
      <c r="U198" s="107">
        <f t="shared" ref="U198:U205" si="394">S198-K198</f>
        <v>57.480000000003201</v>
      </c>
      <c r="V198" s="106">
        <f t="shared" ref="V198:V205" si="395">S198-O198</f>
        <v>-1200</v>
      </c>
      <c r="W198" s="108"/>
      <c r="X198" s="109">
        <f>28202.1+(1950.85*2)+(390.17*2)+150+300</f>
        <v>33334.14</v>
      </c>
      <c r="Y198" s="24">
        <f t="shared" si="376"/>
        <v>-1165.8600000000006</v>
      </c>
      <c r="Z198" s="85">
        <v>33334</v>
      </c>
      <c r="AA198" s="29">
        <f t="shared" ref="AA198:AA205" si="396">Z198-I198</f>
        <v>-2366</v>
      </c>
      <c r="AB198" s="29">
        <f t="shared" ref="AB198:AB205" si="397">Z198-S198</f>
        <v>-1166</v>
      </c>
      <c r="AC198" s="72"/>
      <c r="AD198" s="72"/>
      <c r="AE198" s="72"/>
      <c r="AF198" s="72"/>
      <c r="AG198" s="72"/>
      <c r="AH198" s="85">
        <f t="shared" ref="AH198:AH205" si="398">Z198</f>
        <v>33334</v>
      </c>
      <c r="AI198" s="85">
        <v>35928.61</v>
      </c>
      <c r="AJ198" s="85">
        <f t="shared" ref="AJ198:AJ205" si="399">AH198-Z198</f>
        <v>0</v>
      </c>
      <c r="AK198" s="86">
        <v>35928.61</v>
      </c>
      <c r="AL198" s="123">
        <v>35778.61</v>
      </c>
      <c r="AM198" s="27">
        <f t="shared" si="379"/>
        <v>-150</v>
      </c>
      <c r="AN198" s="61">
        <f t="shared" si="380"/>
        <v>2444.6100000000006</v>
      </c>
      <c r="AO198" s="62">
        <f t="shared" si="381"/>
        <v>2594.6100000000006</v>
      </c>
      <c r="AQ198" s="85" t="s">
        <v>578</v>
      </c>
      <c r="AR198" s="85" t="s">
        <v>578</v>
      </c>
      <c r="AS198" s="85" t="s">
        <v>578</v>
      </c>
      <c r="AT198" s="86">
        <v>36600</v>
      </c>
      <c r="AU198" s="71">
        <v>35778.61</v>
      </c>
      <c r="AV198" s="71">
        <f t="shared" ref="AV198:AV205" si="400">CEILING(AT198,100)</f>
        <v>36600</v>
      </c>
      <c r="AW198" s="71">
        <f t="shared" ref="AW198:AW205" si="401">AV198-Z198</f>
        <v>3266</v>
      </c>
      <c r="AX198" s="76">
        <f t="shared" ref="AX198:AX205" si="402">AT198-Z198</f>
        <v>3266</v>
      </c>
      <c r="AY198" s="76">
        <f t="shared" ref="AY198:AY205" si="403">AT198-AL198</f>
        <v>821.38999999999942</v>
      </c>
      <c r="BE198" s="71">
        <v>36600</v>
      </c>
      <c r="BF198" s="71">
        <f>AV198</f>
        <v>36600</v>
      </c>
      <c r="BG198" s="78">
        <f t="shared" ref="BG198:BG205" si="404">BE198-AV198</f>
        <v>0</v>
      </c>
      <c r="BH198" s="71">
        <f>BF198</f>
        <v>36600</v>
      </c>
      <c r="BI198" s="33">
        <f t="shared" ref="BI198:BI205" si="405">BF198-AV198</f>
        <v>0</v>
      </c>
      <c r="BJ198" s="33">
        <f t="shared" ref="BJ198:BJ205" si="406">BF198-AU198</f>
        <v>821.38999999999942</v>
      </c>
      <c r="BK198" s="71">
        <v>36417.82</v>
      </c>
      <c r="BL198" s="79">
        <f t="shared" ref="BL198:BL205" si="407">BK198-BH198</f>
        <v>-182.18000000000029</v>
      </c>
      <c r="BM198" s="79">
        <f t="shared" ref="BM198:BM205" si="408">BK198-AV198</f>
        <v>-182.18000000000029</v>
      </c>
      <c r="BN198" s="32"/>
      <c r="BO198" s="32"/>
      <c r="BP198" s="71">
        <v>36267.82</v>
      </c>
      <c r="BQ198" s="32">
        <f t="shared" si="383"/>
        <v>-150</v>
      </c>
      <c r="BR198" s="32">
        <f t="shared" si="384"/>
        <v>-332.18000000000029</v>
      </c>
      <c r="BS198" s="32"/>
      <c r="BT198" s="32"/>
      <c r="BU198" s="33"/>
      <c r="BV198" s="34">
        <f t="shared" si="385"/>
        <v>0</v>
      </c>
      <c r="BY198" s="82"/>
      <c r="BZ198" s="82"/>
      <c r="CC198" s="37"/>
      <c r="CD198" s="71">
        <v>35778.61</v>
      </c>
    </row>
    <row r="199" spans="1:82" s="77" customFormat="1" ht="18" customHeight="1" x14ac:dyDescent="0.25">
      <c r="A199" s="99" t="s">
        <v>58</v>
      </c>
      <c r="B199" s="100"/>
      <c r="C199" s="101"/>
      <c r="D199" s="93"/>
      <c r="E199" s="98"/>
      <c r="F199" s="121" t="s">
        <v>579</v>
      </c>
      <c r="G199" s="106">
        <v>1100</v>
      </c>
      <c r="H199" s="106">
        <v>1100</v>
      </c>
      <c r="I199" s="106">
        <v>1100</v>
      </c>
      <c r="J199" s="70" t="s">
        <v>580</v>
      </c>
      <c r="K199" s="106">
        <v>852.8</v>
      </c>
      <c r="L199" s="106">
        <v>406.4</v>
      </c>
      <c r="M199" s="106">
        <f>L199</f>
        <v>406.4</v>
      </c>
      <c r="N199" s="106">
        <f>I199</f>
        <v>1100</v>
      </c>
      <c r="O199" s="106">
        <f>I199</f>
        <v>1100</v>
      </c>
      <c r="P199" s="106">
        <f t="shared" si="392"/>
        <v>0</v>
      </c>
      <c r="Q199" s="106">
        <v>649.6</v>
      </c>
      <c r="R199" s="106"/>
      <c r="S199" s="106">
        <f>O199</f>
        <v>1100</v>
      </c>
      <c r="T199" s="106">
        <f t="shared" si="393"/>
        <v>0</v>
      </c>
      <c r="U199" s="107">
        <f t="shared" si="394"/>
        <v>247.20000000000005</v>
      </c>
      <c r="V199" s="106">
        <f t="shared" si="395"/>
        <v>0</v>
      </c>
      <c r="W199" s="108"/>
      <c r="X199" s="109">
        <f>712+62.4+86.4+48</f>
        <v>908.8</v>
      </c>
      <c r="Y199" s="24">
        <f t="shared" si="376"/>
        <v>-191.20000000000005</v>
      </c>
      <c r="Z199" s="85">
        <v>909</v>
      </c>
      <c r="AA199" s="29">
        <f t="shared" si="396"/>
        <v>-191</v>
      </c>
      <c r="AB199" s="29">
        <f t="shared" si="397"/>
        <v>-191</v>
      </c>
      <c r="AC199" s="72"/>
      <c r="AD199" s="72"/>
      <c r="AE199" s="72"/>
      <c r="AF199" s="72"/>
      <c r="AG199" s="72"/>
      <c r="AH199" s="85">
        <f t="shared" si="398"/>
        <v>909</v>
      </c>
      <c r="AI199" s="85">
        <v>1046.72</v>
      </c>
      <c r="AJ199" s="85">
        <f t="shared" si="399"/>
        <v>0</v>
      </c>
      <c r="AK199" s="86">
        <v>1046.72</v>
      </c>
      <c r="AL199" s="123">
        <v>998.28</v>
      </c>
      <c r="AM199" s="27">
        <f t="shared" si="379"/>
        <v>-48.440000000000055</v>
      </c>
      <c r="AN199" s="61">
        <f t="shared" si="380"/>
        <v>89.279999999999973</v>
      </c>
      <c r="AO199" s="62">
        <f t="shared" si="381"/>
        <v>137.72000000000003</v>
      </c>
      <c r="AQ199" s="85"/>
      <c r="AR199" s="85"/>
      <c r="AS199" s="85"/>
      <c r="AT199" s="86">
        <v>1100</v>
      </c>
      <c r="AU199" s="71">
        <v>998.28</v>
      </c>
      <c r="AV199" s="71">
        <f t="shared" si="400"/>
        <v>1100</v>
      </c>
      <c r="AW199" s="71">
        <f t="shared" si="401"/>
        <v>191</v>
      </c>
      <c r="AX199" s="76">
        <f t="shared" si="402"/>
        <v>191</v>
      </c>
      <c r="AY199" s="76">
        <f t="shared" si="403"/>
        <v>101.72000000000003</v>
      </c>
      <c r="BE199" s="71">
        <v>1100</v>
      </c>
      <c r="BF199" s="71">
        <f>AV199</f>
        <v>1100</v>
      </c>
      <c r="BG199" s="78">
        <f t="shared" si="404"/>
        <v>0</v>
      </c>
      <c r="BH199" s="71">
        <f>BF199</f>
        <v>1100</v>
      </c>
      <c r="BI199" s="33">
        <f t="shared" si="405"/>
        <v>0</v>
      </c>
      <c r="BJ199" s="33">
        <f t="shared" si="406"/>
        <v>101.72000000000003</v>
      </c>
      <c r="BK199" s="71">
        <v>950</v>
      </c>
      <c r="BL199" s="79">
        <f t="shared" si="407"/>
        <v>-150</v>
      </c>
      <c r="BM199" s="79">
        <f t="shared" si="408"/>
        <v>-150</v>
      </c>
      <c r="BN199" s="32"/>
      <c r="BO199" s="32"/>
      <c r="BP199" s="71">
        <v>899</v>
      </c>
      <c r="BQ199" s="32">
        <f t="shared" si="383"/>
        <v>-51</v>
      </c>
      <c r="BR199" s="32">
        <f t="shared" si="384"/>
        <v>-201</v>
      </c>
      <c r="BS199" s="32"/>
      <c r="BT199" s="32"/>
      <c r="BU199" s="33"/>
      <c r="BV199" s="34">
        <f t="shared" si="385"/>
        <v>0</v>
      </c>
      <c r="BY199" s="82"/>
      <c r="BZ199" s="82"/>
      <c r="CC199" s="37"/>
      <c r="CD199" s="71">
        <v>998.28</v>
      </c>
    </row>
    <row r="200" spans="1:82" s="77" customFormat="1" ht="18" customHeight="1" x14ac:dyDescent="0.25">
      <c r="A200" s="99" t="s">
        <v>58</v>
      </c>
      <c r="B200" s="100"/>
      <c r="C200" s="101"/>
      <c r="D200" s="93"/>
      <c r="E200" s="98"/>
      <c r="F200" s="121" t="s">
        <v>581</v>
      </c>
      <c r="G200" s="106">
        <v>100</v>
      </c>
      <c r="H200" s="106">
        <v>100</v>
      </c>
      <c r="I200" s="106">
        <v>100</v>
      </c>
      <c r="J200" s="65"/>
      <c r="K200" s="106">
        <v>13.1</v>
      </c>
      <c r="L200" s="106"/>
      <c r="M200" s="106"/>
      <c r="N200" s="106">
        <f>I200</f>
        <v>100</v>
      </c>
      <c r="O200" s="106">
        <f>I200</f>
        <v>100</v>
      </c>
      <c r="P200" s="106">
        <f t="shared" si="392"/>
        <v>0</v>
      </c>
      <c r="Q200" s="106">
        <v>0</v>
      </c>
      <c r="R200" s="106"/>
      <c r="S200" s="106">
        <v>100</v>
      </c>
      <c r="T200" s="106">
        <f t="shared" si="393"/>
        <v>0</v>
      </c>
      <c r="U200" s="107">
        <f t="shared" si="394"/>
        <v>86.9</v>
      </c>
      <c r="V200" s="106">
        <f t="shared" si="395"/>
        <v>0</v>
      </c>
      <c r="W200" s="108"/>
      <c r="X200" s="109">
        <f>S200</f>
        <v>100</v>
      </c>
      <c r="Y200" s="24">
        <f t="shared" si="376"/>
        <v>0</v>
      </c>
      <c r="Z200" s="85">
        <v>100</v>
      </c>
      <c r="AA200" s="29">
        <f t="shared" si="396"/>
        <v>0</v>
      </c>
      <c r="AB200" s="29">
        <f t="shared" si="397"/>
        <v>0</v>
      </c>
      <c r="AC200" s="72"/>
      <c r="AD200" s="72"/>
      <c r="AE200" s="72"/>
      <c r="AF200" s="72"/>
      <c r="AG200" s="72"/>
      <c r="AH200" s="85">
        <f t="shared" si="398"/>
        <v>100</v>
      </c>
      <c r="AI200" s="85">
        <f>Z200</f>
        <v>100</v>
      </c>
      <c r="AJ200" s="85">
        <f t="shared" si="399"/>
        <v>0</v>
      </c>
      <c r="AK200" s="86">
        <v>100</v>
      </c>
      <c r="AL200" s="123">
        <v>100</v>
      </c>
      <c r="AM200" s="27">
        <f t="shared" si="379"/>
        <v>0</v>
      </c>
      <c r="AN200" s="61">
        <f t="shared" si="380"/>
        <v>0</v>
      </c>
      <c r="AO200" s="62">
        <f t="shared" si="381"/>
        <v>0</v>
      </c>
      <c r="AQ200" s="85"/>
      <c r="AR200" s="85"/>
      <c r="AS200" s="85"/>
      <c r="AT200" s="86">
        <v>100</v>
      </c>
      <c r="AU200" s="71">
        <v>43.77</v>
      </c>
      <c r="AV200" s="71">
        <f t="shared" si="400"/>
        <v>100</v>
      </c>
      <c r="AW200" s="71">
        <f t="shared" si="401"/>
        <v>0</v>
      </c>
      <c r="AX200" s="76">
        <f t="shared" si="402"/>
        <v>0</v>
      </c>
      <c r="AY200" s="76">
        <f t="shared" si="403"/>
        <v>0</v>
      </c>
      <c r="BE200" s="71">
        <v>100</v>
      </c>
      <c r="BF200" s="71">
        <f>AV200</f>
        <v>100</v>
      </c>
      <c r="BG200" s="78">
        <f t="shared" si="404"/>
        <v>0</v>
      </c>
      <c r="BH200" s="71">
        <f>BF200</f>
        <v>100</v>
      </c>
      <c r="BI200" s="33">
        <f t="shared" si="405"/>
        <v>0</v>
      </c>
      <c r="BJ200" s="33">
        <f t="shared" si="406"/>
        <v>56.23</v>
      </c>
      <c r="BK200" s="71">
        <f>BH200</f>
        <v>100</v>
      </c>
      <c r="BL200" s="79">
        <f t="shared" si="407"/>
        <v>0</v>
      </c>
      <c r="BM200" s="79">
        <f t="shared" si="408"/>
        <v>0</v>
      </c>
      <c r="BN200" s="32"/>
      <c r="BO200" s="32"/>
      <c r="BP200" s="71">
        <v>51.17</v>
      </c>
      <c r="BQ200" s="32">
        <f t="shared" si="383"/>
        <v>-48.83</v>
      </c>
      <c r="BR200" s="32">
        <f t="shared" si="384"/>
        <v>-48.83</v>
      </c>
      <c r="BS200" s="32"/>
      <c r="BT200" s="32"/>
      <c r="BU200" s="33"/>
      <c r="BV200" s="34">
        <f t="shared" si="385"/>
        <v>0</v>
      </c>
      <c r="BY200" s="82"/>
      <c r="BZ200" s="82"/>
      <c r="CC200" s="37"/>
      <c r="CD200" s="71">
        <v>43.77</v>
      </c>
    </row>
    <row r="201" spans="1:82" s="77" customFormat="1" ht="18" customHeight="1" x14ac:dyDescent="0.25">
      <c r="A201" s="99" t="s">
        <v>58</v>
      </c>
      <c r="B201" s="100"/>
      <c r="C201" s="101"/>
      <c r="D201" s="93"/>
      <c r="E201" s="98"/>
      <c r="F201" s="121" t="s">
        <v>582</v>
      </c>
      <c r="G201" s="106">
        <v>7100</v>
      </c>
      <c r="H201" s="106">
        <v>7100</v>
      </c>
      <c r="I201" s="106">
        <v>7100</v>
      </c>
      <c r="J201" s="70" t="s">
        <v>583</v>
      </c>
      <c r="K201" s="106">
        <v>7041.64</v>
      </c>
      <c r="L201" s="106">
        <v>0</v>
      </c>
      <c r="M201" s="106">
        <v>3500</v>
      </c>
      <c r="N201" s="106">
        <f>I201</f>
        <v>7100</v>
      </c>
      <c r="O201" s="106">
        <f>I201</f>
        <v>7100</v>
      </c>
      <c r="P201" s="106">
        <f t="shared" si="392"/>
        <v>0</v>
      </c>
      <c r="Q201" s="106">
        <v>0</v>
      </c>
      <c r="R201" s="106"/>
      <c r="S201" s="106">
        <v>7100</v>
      </c>
      <c r="T201" s="106">
        <f t="shared" si="393"/>
        <v>0</v>
      </c>
      <c r="U201" s="107">
        <f t="shared" si="394"/>
        <v>58.359999999999673</v>
      </c>
      <c r="V201" s="106">
        <f t="shared" si="395"/>
        <v>0</v>
      </c>
      <c r="W201" s="108"/>
      <c r="X201" s="109">
        <f>S201</f>
        <v>7100</v>
      </c>
      <c r="Y201" s="24">
        <f t="shared" si="376"/>
        <v>0</v>
      </c>
      <c r="Z201" s="85">
        <v>7100</v>
      </c>
      <c r="AA201" s="29">
        <f t="shared" si="396"/>
        <v>0</v>
      </c>
      <c r="AB201" s="29">
        <f t="shared" si="397"/>
        <v>0</v>
      </c>
      <c r="AC201" s="72"/>
      <c r="AD201" s="72"/>
      <c r="AE201" s="72"/>
      <c r="AF201" s="72"/>
      <c r="AG201" s="72"/>
      <c r="AH201" s="85">
        <f t="shared" si="398"/>
        <v>7100</v>
      </c>
      <c r="AI201" s="85">
        <f>Z201</f>
        <v>7100</v>
      </c>
      <c r="AJ201" s="85">
        <f t="shared" si="399"/>
        <v>0</v>
      </c>
      <c r="AK201" s="86">
        <v>7100</v>
      </c>
      <c r="AL201" s="123">
        <f>Z201</f>
        <v>7100</v>
      </c>
      <c r="AM201" s="27">
        <f t="shared" si="379"/>
        <v>0</v>
      </c>
      <c r="AN201" s="61">
        <f t="shared" si="380"/>
        <v>0</v>
      </c>
      <c r="AO201" s="62">
        <f t="shared" si="381"/>
        <v>0</v>
      </c>
      <c r="AQ201" s="85" t="s">
        <v>271</v>
      </c>
      <c r="AR201" s="85" t="s">
        <v>271</v>
      </c>
      <c r="AS201" s="85" t="s">
        <v>271</v>
      </c>
      <c r="AT201" s="86">
        <f>AH201</f>
        <v>7100</v>
      </c>
      <c r="AU201" s="71">
        <v>7044.76</v>
      </c>
      <c r="AV201" s="71">
        <f t="shared" si="400"/>
        <v>7100</v>
      </c>
      <c r="AW201" s="71">
        <f t="shared" si="401"/>
        <v>0</v>
      </c>
      <c r="AX201" s="76">
        <f t="shared" si="402"/>
        <v>0</v>
      </c>
      <c r="AY201" s="76">
        <f t="shared" si="403"/>
        <v>0</v>
      </c>
      <c r="BE201" s="71">
        <v>7100</v>
      </c>
      <c r="BF201" s="71">
        <f>AV201</f>
        <v>7100</v>
      </c>
      <c r="BG201" s="78">
        <f t="shared" si="404"/>
        <v>0</v>
      </c>
      <c r="BH201" s="71">
        <f>BF201</f>
        <v>7100</v>
      </c>
      <c r="BI201" s="33">
        <f t="shared" si="405"/>
        <v>0</v>
      </c>
      <c r="BJ201" s="33">
        <f t="shared" si="406"/>
        <v>55.239999999999782</v>
      </c>
      <c r="BK201" s="71">
        <f>BH201</f>
        <v>7100</v>
      </c>
      <c r="BL201" s="79">
        <f t="shared" si="407"/>
        <v>0</v>
      </c>
      <c r="BM201" s="79">
        <f t="shared" si="408"/>
        <v>0</v>
      </c>
      <c r="BN201" s="32"/>
      <c r="BO201" s="32"/>
      <c r="BP201" s="71">
        <v>7085.24</v>
      </c>
      <c r="BQ201" s="32">
        <f t="shared" si="383"/>
        <v>-14.760000000000218</v>
      </c>
      <c r="BR201" s="32">
        <f t="shared" si="384"/>
        <v>-14.760000000000218</v>
      </c>
      <c r="BS201" s="32"/>
      <c r="BT201" s="32"/>
      <c r="BU201" s="33"/>
      <c r="BV201" s="34">
        <f t="shared" si="385"/>
        <v>0</v>
      </c>
      <c r="BY201" s="82"/>
      <c r="BZ201" s="82"/>
      <c r="CC201" s="37"/>
      <c r="CD201" s="71">
        <v>7044.76</v>
      </c>
    </row>
    <row r="202" spans="1:82" s="77" customFormat="1" ht="18" hidden="1" customHeight="1" x14ac:dyDescent="0.25">
      <c r="A202" s="99" t="s">
        <v>58</v>
      </c>
      <c r="B202" s="100"/>
      <c r="C202" s="101"/>
      <c r="D202" s="93"/>
      <c r="E202" s="98"/>
      <c r="F202" s="121" t="s">
        <v>584</v>
      </c>
      <c r="G202" s="106">
        <v>0</v>
      </c>
      <c r="H202" s="106"/>
      <c r="I202" s="106">
        <v>0</v>
      </c>
      <c r="J202" s="70"/>
      <c r="K202" s="106">
        <v>0</v>
      </c>
      <c r="L202" s="106"/>
      <c r="M202" s="106"/>
      <c r="N202" s="106"/>
      <c r="O202" s="106"/>
      <c r="P202" s="106">
        <f t="shared" si="392"/>
        <v>0</v>
      </c>
      <c r="Q202" s="106"/>
      <c r="R202" s="106"/>
      <c r="S202" s="106"/>
      <c r="T202" s="106">
        <f t="shared" si="393"/>
        <v>0</v>
      </c>
      <c r="U202" s="107">
        <f t="shared" si="394"/>
        <v>0</v>
      </c>
      <c r="V202" s="106">
        <f t="shared" si="395"/>
        <v>0</v>
      </c>
      <c r="W202" s="108"/>
      <c r="X202" s="109"/>
      <c r="Y202" s="24">
        <f t="shared" si="376"/>
        <v>0</v>
      </c>
      <c r="Z202" s="85">
        <f>S202</f>
        <v>0</v>
      </c>
      <c r="AA202" s="29">
        <f t="shared" si="396"/>
        <v>0</v>
      </c>
      <c r="AB202" s="29">
        <f t="shared" si="397"/>
        <v>0</v>
      </c>
      <c r="AC202" s="72"/>
      <c r="AD202" s="72"/>
      <c r="AE202" s="72"/>
      <c r="AF202" s="72"/>
      <c r="AG202" s="72"/>
      <c r="AH202" s="85">
        <f t="shared" si="398"/>
        <v>0</v>
      </c>
      <c r="AI202" s="85"/>
      <c r="AJ202" s="85">
        <f t="shared" si="399"/>
        <v>0</v>
      </c>
      <c r="AK202" s="86"/>
      <c r="AL202" s="85"/>
      <c r="AM202" s="27">
        <f t="shared" si="379"/>
        <v>0</v>
      </c>
      <c r="AN202" s="61">
        <f t="shared" si="380"/>
        <v>0</v>
      </c>
      <c r="AO202" s="62">
        <f t="shared" si="381"/>
        <v>0</v>
      </c>
      <c r="AQ202" s="85"/>
      <c r="AR202" s="85"/>
      <c r="AS202" s="85"/>
      <c r="AT202" s="86"/>
      <c r="AU202" s="71">
        <f>CEILING(BD202,100)</f>
        <v>0</v>
      </c>
      <c r="AV202" s="71">
        <f t="shared" si="400"/>
        <v>0</v>
      </c>
      <c r="AW202" s="71">
        <f t="shared" si="401"/>
        <v>0</v>
      </c>
      <c r="AX202" s="76">
        <f t="shared" si="402"/>
        <v>0</v>
      </c>
      <c r="AY202" s="76">
        <f t="shared" si="403"/>
        <v>0</v>
      </c>
      <c r="BE202" s="71">
        <v>0</v>
      </c>
      <c r="BF202" s="71"/>
      <c r="BG202" s="78">
        <f t="shared" si="404"/>
        <v>0</v>
      </c>
      <c r="BH202" s="71"/>
      <c r="BI202" s="33">
        <f t="shared" si="405"/>
        <v>0</v>
      </c>
      <c r="BJ202" s="33">
        <f t="shared" si="406"/>
        <v>0</v>
      </c>
      <c r="BK202" s="71"/>
      <c r="BL202" s="79">
        <f t="shared" si="407"/>
        <v>0</v>
      </c>
      <c r="BM202" s="79">
        <f t="shared" si="408"/>
        <v>0</v>
      </c>
      <c r="BN202" s="32"/>
      <c r="BO202" s="32"/>
      <c r="BP202" s="71"/>
      <c r="BQ202" s="32">
        <f t="shared" si="383"/>
        <v>0</v>
      </c>
      <c r="BR202" s="32">
        <f t="shared" si="384"/>
        <v>0</v>
      </c>
      <c r="BS202" s="32"/>
      <c r="BT202" s="32"/>
      <c r="BU202" s="33"/>
      <c r="BV202" s="34">
        <f t="shared" si="385"/>
        <v>0</v>
      </c>
      <c r="BY202" s="82"/>
      <c r="BZ202" s="82"/>
      <c r="CC202" s="37"/>
      <c r="CD202" s="71"/>
    </row>
    <row r="203" spans="1:82" s="77" customFormat="1" ht="18" hidden="1" customHeight="1" x14ac:dyDescent="0.25">
      <c r="A203" s="99" t="s">
        <v>58</v>
      </c>
      <c r="B203" s="100"/>
      <c r="C203" s="101"/>
      <c r="D203" s="93"/>
      <c r="E203" s="98"/>
      <c r="F203" s="121" t="s">
        <v>585</v>
      </c>
      <c r="G203" s="106">
        <v>0</v>
      </c>
      <c r="H203" s="106"/>
      <c r="I203" s="106">
        <v>0</v>
      </c>
      <c r="J203" s="70"/>
      <c r="K203" s="106">
        <v>0</v>
      </c>
      <c r="L203" s="106"/>
      <c r="M203" s="106"/>
      <c r="N203" s="106"/>
      <c r="O203" s="106"/>
      <c r="P203" s="106">
        <f t="shared" si="392"/>
        <v>0</v>
      </c>
      <c r="Q203" s="106"/>
      <c r="R203" s="106"/>
      <c r="S203" s="106"/>
      <c r="T203" s="106">
        <f t="shared" si="393"/>
        <v>0</v>
      </c>
      <c r="U203" s="107">
        <f t="shared" si="394"/>
        <v>0</v>
      </c>
      <c r="V203" s="106">
        <f t="shared" si="395"/>
        <v>0</v>
      </c>
      <c r="W203" s="108"/>
      <c r="X203" s="109"/>
      <c r="Y203" s="24">
        <f t="shared" si="376"/>
        <v>0</v>
      </c>
      <c r="Z203" s="85">
        <f>S203</f>
        <v>0</v>
      </c>
      <c r="AA203" s="29">
        <f t="shared" si="396"/>
        <v>0</v>
      </c>
      <c r="AB203" s="29">
        <f t="shared" si="397"/>
        <v>0</v>
      </c>
      <c r="AC203" s="72"/>
      <c r="AD203" s="72"/>
      <c r="AE203" s="72"/>
      <c r="AF203" s="72"/>
      <c r="AG203" s="72"/>
      <c r="AH203" s="85">
        <f t="shared" si="398"/>
        <v>0</v>
      </c>
      <c r="AI203" s="85"/>
      <c r="AJ203" s="85">
        <f t="shared" si="399"/>
        <v>0</v>
      </c>
      <c r="AK203" s="86"/>
      <c r="AL203" s="85"/>
      <c r="AM203" s="27">
        <f t="shared" si="379"/>
        <v>0</v>
      </c>
      <c r="AN203" s="61">
        <f t="shared" si="380"/>
        <v>0</v>
      </c>
      <c r="AO203" s="62">
        <f t="shared" si="381"/>
        <v>0</v>
      </c>
      <c r="AQ203" s="85"/>
      <c r="AR203" s="85"/>
      <c r="AS203" s="85"/>
      <c r="AT203" s="86"/>
      <c r="AU203" s="71">
        <f>CEILING(BD203,100)</f>
        <v>0</v>
      </c>
      <c r="AV203" s="71">
        <f t="shared" si="400"/>
        <v>0</v>
      </c>
      <c r="AW203" s="71">
        <f t="shared" si="401"/>
        <v>0</v>
      </c>
      <c r="AX203" s="76">
        <f t="shared" si="402"/>
        <v>0</v>
      </c>
      <c r="AY203" s="76">
        <f t="shared" si="403"/>
        <v>0</v>
      </c>
      <c r="BE203" s="71">
        <v>0</v>
      </c>
      <c r="BF203" s="71"/>
      <c r="BG203" s="78">
        <f t="shared" si="404"/>
        <v>0</v>
      </c>
      <c r="BH203" s="71"/>
      <c r="BI203" s="33">
        <f t="shared" si="405"/>
        <v>0</v>
      </c>
      <c r="BJ203" s="33">
        <f t="shared" si="406"/>
        <v>0</v>
      </c>
      <c r="BK203" s="71"/>
      <c r="BL203" s="79">
        <f t="shared" si="407"/>
        <v>0</v>
      </c>
      <c r="BM203" s="79">
        <f t="shared" si="408"/>
        <v>0</v>
      </c>
      <c r="BN203" s="32"/>
      <c r="BO203" s="32"/>
      <c r="BP203" s="71"/>
      <c r="BQ203" s="32">
        <f t="shared" si="383"/>
        <v>0</v>
      </c>
      <c r="BR203" s="32">
        <f t="shared" si="384"/>
        <v>0</v>
      </c>
      <c r="BS203" s="32"/>
      <c r="BT203" s="32"/>
      <c r="BU203" s="33"/>
      <c r="BV203" s="34">
        <f t="shared" si="385"/>
        <v>0</v>
      </c>
      <c r="BY203" s="82"/>
      <c r="BZ203" s="82"/>
      <c r="CC203" s="37"/>
      <c r="CD203" s="71"/>
    </row>
    <row r="204" spans="1:82" s="77" customFormat="1" ht="18" hidden="1" customHeight="1" x14ac:dyDescent="0.25">
      <c r="A204" s="99" t="s">
        <v>58</v>
      </c>
      <c r="B204" s="100"/>
      <c r="C204" s="101"/>
      <c r="D204" s="93"/>
      <c r="E204" s="98"/>
      <c r="F204" s="121" t="s">
        <v>586</v>
      </c>
      <c r="G204" s="106">
        <v>0</v>
      </c>
      <c r="H204" s="106"/>
      <c r="I204" s="106">
        <v>0</v>
      </c>
      <c r="J204" s="70"/>
      <c r="K204" s="106">
        <v>0</v>
      </c>
      <c r="L204" s="106"/>
      <c r="M204" s="106"/>
      <c r="N204" s="106"/>
      <c r="O204" s="106"/>
      <c r="P204" s="106">
        <f t="shared" si="392"/>
        <v>0</v>
      </c>
      <c r="Q204" s="106"/>
      <c r="R204" s="106"/>
      <c r="S204" s="106"/>
      <c r="T204" s="106">
        <f t="shared" si="393"/>
        <v>0</v>
      </c>
      <c r="U204" s="107">
        <f t="shared" si="394"/>
        <v>0</v>
      </c>
      <c r="V204" s="106">
        <f t="shared" si="395"/>
        <v>0</v>
      </c>
      <c r="W204" s="108"/>
      <c r="X204" s="109"/>
      <c r="Y204" s="24">
        <f t="shared" si="376"/>
        <v>0</v>
      </c>
      <c r="Z204" s="85">
        <f>S204</f>
        <v>0</v>
      </c>
      <c r="AA204" s="29">
        <f t="shared" si="396"/>
        <v>0</v>
      </c>
      <c r="AB204" s="29">
        <f t="shared" si="397"/>
        <v>0</v>
      </c>
      <c r="AC204" s="72"/>
      <c r="AD204" s="72"/>
      <c r="AE204" s="72"/>
      <c r="AF204" s="72"/>
      <c r="AG204" s="72"/>
      <c r="AH204" s="85">
        <f t="shared" si="398"/>
        <v>0</v>
      </c>
      <c r="AI204" s="85"/>
      <c r="AJ204" s="85">
        <f t="shared" si="399"/>
        <v>0</v>
      </c>
      <c r="AK204" s="86"/>
      <c r="AL204" s="85"/>
      <c r="AM204" s="27">
        <f t="shared" si="379"/>
        <v>0</v>
      </c>
      <c r="AN204" s="61">
        <f t="shared" si="380"/>
        <v>0</v>
      </c>
      <c r="AO204" s="62">
        <f t="shared" si="381"/>
        <v>0</v>
      </c>
      <c r="AQ204" s="85"/>
      <c r="AR204" s="85"/>
      <c r="AS204" s="85"/>
      <c r="AT204" s="86"/>
      <c r="AU204" s="71">
        <f>CEILING(BD204,100)</f>
        <v>0</v>
      </c>
      <c r="AV204" s="71">
        <f t="shared" si="400"/>
        <v>0</v>
      </c>
      <c r="AW204" s="71">
        <f t="shared" si="401"/>
        <v>0</v>
      </c>
      <c r="AX204" s="76">
        <f t="shared" si="402"/>
        <v>0</v>
      </c>
      <c r="AY204" s="76">
        <f t="shared" si="403"/>
        <v>0</v>
      </c>
      <c r="BE204" s="71">
        <v>0</v>
      </c>
      <c r="BF204" s="71"/>
      <c r="BG204" s="78">
        <f t="shared" si="404"/>
        <v>0</v>
      </c>
      <c r="BH204" s="71"/>
      <c r="BI204" s="33">
        <f t="shared" si="405"/>
        <v>0</v>
      </c>
      <c r="BJ204" s="33">
        <f t="shared" si="406"/>
        <v>0</v>
      </c>
      <c r="BK204" s="71"/>
      <c r="BL204" s="79">
        <f t="shared" si="407"/>
        <v>0</v>
      </c>
      <c r="BM204" s="79">
        <f t="shared" si="408"/>
        <v>0</v>
      </c>
      <c r="BN204" s="32"/>
      <c r="BO204" s="32"/>
      <c r="BP204" s="71"/>
      <c r="BQ204" s="32">
        <f t="shared" si="383"/>
        <v>0</v>
      </c>
      <c r="BR204" s="32">
        <f t="shared" si="384"/>
        <v>0</v>
      </c>
      <c r="BS204" s="32"/>
      <c r="BT204" s="32"/>
      <c r="BU204" s="33"/>
      <c r="BV204" s="34">
        <f t="shared" si="385"/>
        <v>0</v>
      </c>
      <c r="BY204" s="82"/>
      <c r="BZ204" s="82"/>
      <c r="CC204" s="37"/>
      <c r="CD204" s="71"/>
    </row>
    <row r="205" spans="1:82" s="77" customFormat="1" ht="18" hidden="1" customHeight="1" x14ac:dyDescent="0.25">
      <c r="A205" s="99" t="s">
        <v>58</v>
      </c>
      <c r="B205" s="100"/>
      <c r="C205" s="101"/>
      <c r="D205" s="93"/>
      <c r="E205" s="98"/>
      <c r="F205" s="121" t="s">
        <v>587</v>
      </c>
      <c r="G205" s="106">
        <v>500</v>
      </c>
      <c r="H205" s="106">
        <v>0</v>
      </c>
      <c r="I205" s="106">
        <v>500</v>
      </c>
      <c r="J205" s="70"/>
      <c r="K205" s="106">
        <v>0</v>
      </c>
      <c r="L205" s="106"/>
      <c r="M205" s="106">
        <v>250</v>
      </c>
      <c r="N205" s="106">
        <v>500</v>
      </c>
      <c r="O205" s="106">
        <v>500</v>
      </c>
      <c r="P205" s="106">
        <f t="shared" si="392"/>
        <v>0</v>
      </c>
      <c r="Q205" s="106"/>
      <c r="R205" s="106"/>
      <c r="S205" s="106"/>
      <c r="T205" s="106">
        <f t="shared" si="393"/>
        <v>-500</v>
      </c>
      <c r="U205" s="107">
        <f t="shared" si="394"/>
        <v>0</v>
      </c>
      <c r="V205" s="106">
        <f t="shared" si="395"/>
        <v>-500</v>
      </c>
      <c r="W205" s="108"/>
      <c r="X205" s="109">
        <v>0</v>
      </c>
      <c r="Y205" s="24">
        <f t="shared" si="376"/>
        <v>0</v>
      </c>
      <c r="Z205" s="85">
        <f>S205</f>
        <v>0</v>
      </c>
      <c r="AA205" s="29">
        <f t="shared" si="396"/>
        <v>-500</v>
      </c>
      <c r="AB205" s="29">
        <f t="shared" si="397"/>
        <v>0</v>
      </c>
      <c r="AC205" s="72"/>
      <c r="AD205" s="72"/>
      <c r="AE205" s="72"/>
      <c r="AF205" s="72"/>
      <c r="AG205" s="72"/>
      <c r="AH205" s="85">
        <f t="shared" si="398"/>
        <v>0</v>
      </c>
      <c r="AI205" s="85"/>
      <c r="AJ205" s="85">
        <f t="shared" si="399"/>
        <v>0</v>
      </c>
      <c r="AK205" s="86"/>
      <c r="AL205" s="85"/>
      <c r="AM205" s="27">
        <f t="shared" si="379"/>
        <v>0</v>
      </c>
      <c r="AN205" s="61">
        <f t="shared" si="380"/>
        <v>0</v>
      </c>
      <c r="AO205" s="62">
        <f t="shared" si="381"/>
        <v>0</v>
      </c>
      <c r="AQ205" s="85"/>
      <c r="AR205" s="85"/>
      <c r="AS205" s="85"/>
      <c r="AT205" s="86"/>
      <c r="AU205" s="71">
        <f>CEILING(BD205,100)</f>
        <v>0</v>
      </c>
      <c r="AV205" s="71">
        <f t="shared" si="400"/>
        <v>0</v>
      </c>
      <c r="AW205" s="71">
        <f t="shared" si="401"/>
        <v>0</v>
      </c>
      <c r="AX205" s="76">
        <f t="shared" si="402"/>
        <v>0</v>
      </c>
      <c r="AY205" s="76">
        <f t="shared" si="403"/>
        <v>0</v>
      </c>
      <c r="BE205" s="71">
        <v>0</v>
      </c>
      <c r="BF205" s="71"/>
      <c r="BG205" s="78">
        <f t="shared" si="404"/>
        <v>0</v>
      </c>
      <c r="BH205" s="71"/>
      <c r="BI205" s="33">
        <f t="shared" si="405"/>
        <v>0</v>
      </c>
      <c r="BJ205" s="33">
        <f t="shared" si="406"/>
        <v>0</v>
      </c>
      <c r="BK205" s="71"/>
      <c r="BL205" s="79">
        <f t="shared" si="407"/>
        <v>0</v>
      </c>
      <c r="BM205" s="79">
        <f t="shared" si="408"/>
        <v>0</v>
      </c>
      <c r="BN205" s="32"/>
      <c r="BO205" s="32"/>
      <c r="BP205" s="71"/>
      <c r="BQ205" s="32">
        <f t="shared" si="383"/>
        <v>0</v>
      </c>
      <c r="BR205" s="32">
        <f t="shared" si="384"/>
        <v>0</v>
      </c>
      <c r="BS205" s="32"/>
      <c r="BT205" s="32"/>
      <c r="BU205" s="33"/>
      <c r="BV205" s="34">
        <f t="shared" si="385"/>
        <v>0</v>
      </c>
      <c r="BY205" s="82"/>
      <c r="BZ205" s="82"/>
      <c r="CC205" s="37"/>
      <c r="CD205" s="71"/>
    </row>
    <row r="206" spans="1:82" s="35" customFormat="1" ht="18" customHeight="1" x14ac:dyDescent="0.25">
      <c r="A206" s="38" t="s">
        <v>58</v>
      </c>
      <c r="B206" s="39"/>
      <c r="C206" s="93"/>
      <c r="D206" s="93" t="s">
        <v>588</v>
      </c>
      <c r="E206" s="103"/>
      <c r="F206" s="104"/>
      <c r="G206" s="46">
        <v>66100</v>
      </c>
      <c r="H206" s="46">
        <v>60100</v>
      </c>
      <c r="I206" s="46">
        <f t="shared" ref="I206:Q206" si="409">I207</f>
        <v>87100</v>
      </c>
      <c r="J206" s="46">
        <f t="shared" si="409"/>
        <v>0</v>
      </c>
      <c r="K206" s="46">
        <f t="shared" si="409"/>
        <v>67306.06</v>
      </c>
      <c r="L206" s="46">
        <f t="shared" si="409"/>
        <v>60555.12</v>
      </c>
      <c r="M206" s="46">
        <f t="shared" si="409"/>
        <v>43234.229999999996</v>
      </c>
      <c r="N206" s="46">
        <f t="shared" si="409"/>
        <v>85718.459999999992</v>
      </c>
      <c r="O206" s="46">
        <f t="shared" si="409"/>
        <v>76388.459999999992</v>
      </c>
      <c r="P206" s="46">
        <f t="shared" si="409"/>
        <v>-1381.5400000000009</v>
      </c>
      <c r="Q206" s="46">
        <f t="shared" si="409"/>
        <v>60870.12</v>
      </c>
      <c r="R206" s="46"/>
      <c r="S206" s="46">
        <f>S207</f>
        <v>80168.08</v>
      </c>
      <c r="T206" s="46">
        <f>T207</f>
        <v>-6931.92</v>
      </c>
      <c r="U206" s="46">
        <f>U207</f>
        <v>12862.02</v>
      </c>
      <c r="V206" s="46">
        <f>V207</f>
        <v>3779.6200000000008</v>
      </c>
      <c r="W206" s="47"/>
      <c r="X206" s="23">
        <f>X207</f>
        <v>79835.12</v>
      </c>
      <c r="Y206" s="24">
        <f t="shared" si="376"/>
        <v>-332.9600000000064</v>
      </c>
      <c r="Z206" s="48">
        <f t="shared" ref="Z206:AL206" si="410">Z207</f>
        <v>69831</v>
      </c>
      <c r="AA206" s="48">
        <f t="shared" si="410"/>
        <v>-17269</v>
      </c>
      <c r="AB206" s="48">
        <f t="shared" si="410"/>
        <v>-10337.08</v>
      </c>
      <c r="AC206" s="48">
        <f t="shared" si="410"/>
        <v>0</v>
      </c>
      <c r="AD206" s="48">
        <f t="shared" si="410"/>
        <v>0</v>
      </c>
      <c r="AE206" s="48">
        <f t="shared" si="410"/>
        <v>0</v>
      </c>
      <c r="AF206" s="48">
        <f t="shared" si="410"/>
        <v>0</v>
      </c>
      <c r="AG206" s="48">
        <f t="shared" si="410"/>
        <v>0</v>
      </c>
      <c r="AH206" s="48">
        <f t="shared" si="410"/>
        <v>69831</v>
      </c>
      <c r="AI206" s="48">
        <f t="shared" si="410"/>
        <v>76356.31</v>
      </c>
      <c r="AJ206" s="48">
        <f t="shared" si="410"/>
        <v>0</v>
      </c>
      <c r="AK206" s="49">
        <f t="shared" si="410"/>
        <v>76706.92</v>
      </c>
      <c r="AL206" s="48">
        <f t="shared" si="410"/>
        <v>72843.98</v>
      </c>
      <c r="AM206" s="27">
        <f t="shared" si="379"/>
        <v>-3512.3300000000017</v>
      </c>
      <c r="AN206" s="28">
        <f t="shared" si="380"/>
        <v>3012.9799999999959</v>
      </c>
      <c r="AO206" s="50">
        <f t="shared" si="381"/>
        <v>6525.3099999999977</v>
      </c>
      <c r="AQ206" s="48"/>
      <c r="AR206" s="48"/>
      <c r="AS206" s="48"/>
      <c r="AT206" s="49" t="e">
        <f t="shared" ref="AT206:BP206" si="411">AT207</f>
        <v>#REF!</v>
      </c>
      <c r="AU206" s="48">
        <f t="shared" si="411"/>
        <v>77467.070000000007</v>
      </c>
      <c r="AV206" s="48">
        <f t="shared" si="411"/>
        <v>76200</v>
      </c>
      <c r="AW206" s="48">
        <f t="shared" si="411"/>
        <v>6369</v>
      </c>
      <c r="AX206" s="48" t="e">
        <f t="shared" si="411"/>
        <v>#REF!</v>
      </c>
      <c r="AY206" s="48" t="e">
        <f t="shared" si="411"/>
        <v>#REF!</v>
      </c>
      <c r="AZ206" s="48">
        <f t="shared" si="411"/>
        <v>0</v>
      </c>
      <c r="BA206" s="48">
        <f t="shared" si="411"/>
        <v>0</v>
      </c>
      <c r="BB206" s="48">
        <f t="shared" si="411"/>
        <v>0</v>
      </c>
      <c r="BC206" s="48">
        <f t="shared" si="411"/>
        <v>0</v>
      </c>
      <c r="BD206" s="48">
        <f t="shared" si="411"/>
        <v>0</v>
      </c>
      <c r="BE206" s="48">
        <f t="shared" si="411"/>
        <v>76200</v>
      </c>
      <c r="BF206" s="48">
        <f t="shared" si="411"/>
        <v>80105.31</v>
      </c>
      <c r="BG206" s="48">
        <f t="shared" si="411"/>
        <v>0</v>
      </c>
      <c r="BH206" s="48">
        <f t="shared" si="411"/>
        <v>80105.31</v>
      </c>
      <c r="BI206" s="48">
        <f t="shared" si="411"/>
        <v>3905.3100000000013</v>
      </c>
      <c r="BJ206" s="48">
        <f t="shared" si="411"/>
        <v>2638.2400000000025</v>
      </c>
      <c r="BK206" s="48">
        <f t="shared" si="411"/>
        <v>76475.33</v>
      </c>
      <c r="BL206" s="48">
        <f t="shared" si="411"/>
        <v>-3629.9800000000014</v>
      </c>
      <c r="BM206" s="48">
        <f t="shared" si="411"/>
        <v>275.32999999999993</v>
      </c>
      <c r="BN206" s="48">
        <f t="shared" si="411"/>
        <v>0</v>
      </c>
      <c r="BO206" s="48">
        <f t="shared" si="411"/>
        <v>0</v>
      </c>
      <c r="BP206" s="48">
        <f t="shared" si="411"/>
        <v>72376.37</v>
      </c>
      <c r="BQ206" s="32">
        <f t="shared" si="383"/>
        <v>-4098.9600000000064</v>
      </c>
      <c r="BR206" s="32">
        <f t="shared" si="384"/>
        <v>-3823.6300000000047</v>
      </c>
      <c r="BS206" s="32"/>
      <c r="BT206" s="32"/>
      <c r="BU206" s="33"/>
      <c r="BV206" s="34">
        <f t="shared" si="385"/>
        <v>3905.3099999999977</v>
      </c>
      <c r="BY206" s="36"/>
      <c r="BZ206" s="36"/>
      <c r="CC206" s="37"/>
      <c r="CD206" s="48">
        <f>CD207</f>
        <v>77467.070000000007</v>
      </c>
    </row>
    <row r="207" spans="1:82" s="63" customFormat="1" ht="18" customHeight="1" x14ac:dyDescent="0.25">
      <c r="A207" s="96" t="s">
        <v>58</v>
      </c>
      <c r="B207" s="97"/>
      <c r="C207" s="98"/>
      <c r="D207" s="103"/>
      <c r="E207" s="98" t="s">
        <v>588</v>
      </c>
      <c r="F207" s="105"/>
      <c r="G207" s="55">
        <v>66100</v>
      </c>
      <c r="H207" s="55">
        <v>60100</v>
      </c>
      <c r="I207" s="55">
        <f t="shared" ref="I207:Q207" si="412">SUM(I208:I214)</f>
        <v>87100</v>
      </c>
      <c r="J207" s="55">
        <f t="shared" si="412"/>
        <v>0</v>
      </c>
      <c r="K207" s="55">
        <f t="shared" si="412"/>
        <v>67306.06</v>
      </c>
      <c r="L207" s="55">
        <f t="shared" si="412"/>
        <v>60555.12</v>
      </c>
      <c r="M207" s="55">
        <f t="shared" si="412"/>
        <v>43234.229999999996</v>
      </c>
      <c r="N207" s="55">
        <f t="shared" si="412"/>
        <v>85718.459999999992</v>
      </c>
      <c r="O207" s="55">
        <f t="shared" si="412"/>
        <v>76388.459999999992</v>
      </c>
      <c r="P207" s="55">
        <f t="shared" si="412"/>
        <v>-1381.5400000000009</v>
      </c>
      <c r="Q207" s="55">
        <f t="shared" si="412"/>
        <v>60870.12</v>
      </c>
      <c r="R207" s="55"/>
      <c r="S207" s="55">
        <f>SUM(S208:S214)</f>
        <v>80168.08</v>
      </c>
      <c r="T207" s="55">
        <f>SUM(T208:T214)</f>
        <v>-6931.92</v>
      </c>
      <c r="U207" s="55">
        <f>SUM(U208:U214)</f>
        <v>12862.02</v>
      </c>
      <c r="V207" s="55">
        <f>SUM(V208:V214)</f>
        <v>3779.6200000000008</v>
      </c>
      <c r="W207" s="57"/>
      <c r="X207" s="58">
        <f>SUM(X208:X214)</f>
        <v>79835.12</v>
      </c>
      <c r="Y207" s="59">
        <f t="shared" si="376"/>
        <v>-332.9600000000064</v>
      </c>
      <c r="Z207" s="33">
        <f t="shared" ref="Z207:AL207" si="413">SUM(Z208:Z214)</f>
        <v>69831</v>
      </c>
      <c r="AA207" s="33">
        <f t="shared" si="413"/>
        <v>-17269</v>
      </c>
      <c r="AB207" s="33">
        <f t="shared" si="413"/>
        <v>-10337.08</v>
      </c>
      <c r="AC207" s="33">
        <f t="shared" si="413"/>
        <v>0</v>
      </c>
      <c r="AD207" s="33">
        <f t="shared" si="413"/>
        <v>0</v>
      </c>
      <c r="AE207" s="33">
        <f t="shared" si="413"/>
        <v>0</v>
      </c>
      <c r="AF207" s="33">
        <f t="shared" si="413"/>
        <v>0</v>
      </c>
      <c r="AG207" s="33">
        <f t="shared" si="413"/>
        <v>0</v>
      </c>
      <c r="AH207" s="33">
        <f t="shared" si="413"/>
        <v>69831</v>
      </c>
      <c r="AI207" s="33">
        <f t="shared" si="413"/>
        <v>76356.31</v>
      </c>
      <c r="AJ207" s="33">
        <f t="shared" si="413"/>
        <v>0</v>
      </c>
      <c r="AK207" s="60">
        <f t="shared" si="413"/>
        <v>76706.92</v>
      </c>
      <c r="AL207" s="33">
        <f t="shared" si="413"/>
        <v>72843.98</v>
      </c>
      <c r="AM207" s="27">
        <f t="shared" si="379"/>
        <v>-3512.3300000000017</v>
      </c>
      <c r="AN207" s="61">
        <f t="shared" si="380"/>
        <v>3012.9799999999959</v>
      </c>
      <c r="AO207" s="62">
        <f t="shared" si="381"/>
        <v>6525.3099999999977</v>
      </c>
      <c r="AQ207" s="33"/>
      <c r="AR207" s="33"/>
      <c r="AS207" s="33"/>
      <c r="AT207" s="60" t="e">
        <f t="shared" ref="AT207:BP207" si="414">SUM(AT208:AT214)</f>
        <v>#REF!</v>
      </c>
      <c r="AU207" s="33">
        <f t="shared" si="414"/>
        <v>77467.070000000007</v>
      </c>
      <c r="AV207" s="33">
        <f t="shared" si="414"/>
        <v>76200</v>
      </c>
      <c r="AW207" s="33">
        <f t="shared" si="414"/>
        <v>6369</v>
      </c>
      <c r="AX207" s="33" t="e">
        <f t="shared" si="414"/>
        <v>#REF!</v>
      </c>
      <c r="AY207" s="33" t="e">
        <f t="shared" si="414"/>
        <v>#REF!</v>
      </c>
      <c r="AZ207" s="33">
        <f t="shared" si="414"/>
        <v>0</v>
      </c>
      <c r="BA207" s="33">
        <f t="shared" si="414"/>
        <v>0</v>
      </c>
      <c r="BB207" s="33">
        <f t="shared" si="414"/>
        <v>0</v>
      </c>
      <c r="BC207" s="33">
        <f t="shared" si="414"/>
        <v>0</v>
      </c>
      <c r="BD207" s="33">
        <f t="shared" si="414"/>
        <v>0</v>
      </c>
      <c r="BE207" s="33">
        <f t="shared" si="414"/>
        <v>76200</v>
      </c>
      <c r="BF207" s="33">
        <f t="shared" si="414"/>
        <v>80105.31</v>
      </c>
      <c r="BG207" s="33">
        <f t="shared" si="414"/>
        <v>0</v>
      </c>
      <c r="BH207" s="33">
        <f t="shared" si="414"/>
        <v>80105.31</v>
      </c>
      <c r="BI207" s="33">
        <f t="shared" si="414"/>
        <v>3905.3100000000013</v>
      </c>
      <c r="BJ207" s="33">
        <f t="shared" si="414"/>
        <v>2638.2400000000025</v>
      </c>
      <c r="BK207" s="33">
        <f t="shared" si="414"/>
        <v>76475.33</v>
      </c>
      <c r="BL207" s="33">
        <f t="shared" si="414"/>
        <v>-3629.9800000000014</v>
      </c>
      <c r="BM207" s="33">
        <f t="shared" si="414"/>
        <v>275.32999999999993</v>
      </c>
      <c r="BN207" s="33">
        <f t="shared" si="414"/>
        <v>0</v>
      </c>
      <c r="BO207" s="33">
        <f t="shared" si="414"/>
        <v>0</v>
      </c>
      <c r="BP207" s="33">
        <f t="shared" si="414"/>
        <v>72376.37</v>
      </c>
      <c r="BQ207" s="32">
        <f t="shared" si="383"/>
        <v>-4098.9600000000064</v>
      </c>
      <c r="BR207" s="32">
        <f t="shared" si="384"/>
        <v>-3823.6300000000047</v>
      </c>
      <c r="BS207" s="32"/>
      <c r="BT207" s="32"/>
      <c r="BU207" s="33"/>
      <c r="BV207" s="34">
        <f t="shared" si="385"/>
        <v>3905.3099999999977</v>
      </c>
      <c r="BY207" s="64"/>
      <c r="BZ207" s="64"/>
      <c r="CC207" s="37"/>
      <c r="CD207" s="33">
        <f>SUM(CD208:CD214)</f>
        <v>77467.070000000007</v>
      </c>
    </row>
    <row r="208" spans="1:82" s="77" customFormat="1" ht="18" customHeight="1" x14ac:dyDescent="0.25">
      <c r="A208" s="99" t="s">
        <v>58</v>
      </c>
      <c r="B208" s="100"/>
      <c r="C208" s="101"/>
      <c r="D208" s="93"/>
      <c r="E208" s="98"/>
      <c r="F208" s="121" t="s">
        <v>589</v>
      </c>
      <c r="G208" s="106">
        <v>45200</v>
      </c>
      <c r="H208" s="106">
        <v>47700</v>
      </c>
      <c r="I208" s="106">
        <v>55800</v>
      </c>
      <c r="J208" s="70" t="s">
        <v>590</v>
      </c>
      <c r="K208" s="106">
        <v>47595.96</v>
      </c>
      <c r="L208" s="106">
        <v>55718.46</v>
      </c>
      <c r="M208" s="106">
        <f>L208/2</f>
        <v>27859.23</v>
      </c>
      <c r="N208" s="106">
        <f>M208*2</f>
        <v>55718.46</v>
      </c>
      <c r="O208" s="106">
        <f>N208</f>
        <v>55718.46</v>
      </c>
      <c r="P208" s="106">
        <f t="shared" ref="P208:P221" si="415">N208-I208</f>
        <v>-81.540000000000873</v>
      </c>
      <c r="Q208" s="106">
        <v>55718.46</v>
      </c>
      <c r="R208" s="106"/>
      <c r="S208" s="106">
        <f>Q208</f>
        <v>55718.46</v>
      </c>
      <c r="T208" s="106">
        <f t="shared" ref="T208:T248" si="416">S208-I208</f>
        <v>-81.540000000000873</v>
      </c>
      <c r="U208" s="107">
        <f t="shared" ref="U208:U248" si="417">S208-K208</f>
        <v>8122.5</v>
      </c>
      <c r="V208" s="106">
        <f t="shared" ref="V208:V248" si="418">S208-O208</f>
        <v>0</v>
      </c>
      <c r="W208" s="108"/>
      <c r="X208" s="109">
        <f>S208</f>
        <v>55718.46</v>
      </c>
      <c r="Y208" s="24">
        <f t="shared" si="376"/>
        <v>0</v>
      </c>
      <c r="Z208" s="85">
        <v>51154</v>
      </c>
      <c r="AA208" s="29">
        <f t="shared" ref="AA208:AA221" si="419">Z208-I208</f>
        <v>-4646</v>
      </c>
      <c r="AB208" s="29">
        <f t="shared" ref="AB208:AB221" si="420">Z208-S208</f>
        <v>-4564.4599999999991</v>
      </c>
      <c r="AC208" s="72" t="s">
        <v>591</v>
      </c>
      <c r="AD208" s="72"/>
      <c r="AE208" s="72"/>
      <c r="AF208" s="72"/>
      <c r="AG208" s="72"/>
      <c r="AH208" s="85">
        <f t="shared" ref="AH208:AH214" si="421">Z208</f>
        <v>51154</v>
      </c>
      <c r="AI208" s="85">
        <v>49444.46</v>
      </c>
      <c r="AJ208" s="85">
        <f t="shared" ref="AJ208:AJ221" si="422">AH208-Z208</f>
        <v>0</v>
      </c>
      <c r="AK208" s="86">
        <v>49444.46</v>
      </c>
      <c r="AL208" s="123">
        <v>49444.46</v>
      </c>
      <c r="AM208" s="27">
        <f t="shared" si="379"/>
        <v>0</v>
      </c>
      <c r="AN208" s="61">
        <f t="shared" si="380"/>
        <v>-1709.5400000000009</v>
      </c>
      <c r="AO208" s="62">
        <f t="shared" si="381"/>
        <v>-1709.5400000000009</v>
      </c>
      <c r="AQ208" s="85" t="s">
        <v>592</v>
      </c>
      <c r="AR208" s="85" t="s">
        <v>592</v>
      </c>
      <c r="AS208" s="85" t="s">
        <v>592</v>
      </c>
      <c r="AT208" s="86" t="e">
        <f>#REF!</f>
        <v>#REF!</v>
      </c>
      <c r="AU208" s="71">
        <v>53709.35</v>
      </c>
      <c r="AV208" s="71">
        <v>54400</v>
      </c>
      <c r="AW208" s="71">
        <f t="shared" ref="AW208:AW221" si="423">AV208-Z208</f>
        <v>3246</v>
      </c>
      <c r="AX208" s="76" t="e">
        <f t="shared" ref="AX208:AX221" si="424">AT208-Z208</f>
        <v>#REF!</v>
      </c>
      <c r="AY208" s="76" t="e">
        <f t="shared" ref="AY208:AY221" si="425">AT208-AL208</f>
        <v>#REF!</v>
      </c>
      <c r="BE208" s="71">
        <v>54400</v>
      </c>
      <c r="BF208" s="71">
        <f>54380.75+4200</f>
        <v>58580.75</v>
      </c>
      <c r="BG208" s="78">
        <f t="shared" ref="BG208:BG221" si="426">BE208-AV208</f>
        <v>0</v>
      </c>
      <c r="BH208" s="71">
        <f t="shared" ref="BH208:BH213" si="427">BF208</f>
        <v>58580.75</v>
      </c>
      <c r="BI208" s="33">
        <f t="shared" ref="BI208:BI221" si="428">BF208-AV208</f>
        <v>4180.75</v>
      </c>
      <c r="BJ208" s="33">
        <f t="shared" ref="BJ208:BJ221" si="429">BF208-AU208</f>
        <v>4871.4000000000015</v>
      </c>
      <c r="BK208" s="71">
        <f>BH208</f>
        <v>58580.75</v>
      </c>
      <c r="BL208" s="79">
        <f t="shared" ref="BL208:BL221" si="430">BK208-BH208</f>
        <v>0</v>
      </c>
      <c r="BM208" s="79">
        <f t="shared" ref="BM208:BM221" si="431">BK208-AV208</f>
        <v>4180.75</v>
      </c>
      <c r="BN208" s="87" t="s">
        <v>593</v>
      </c>
      <c r="BO208" s="87" t="s">
        <v>593</v>
      </c>
      <c r="BP208" s="71">
        <v>59316.27</v>
      </c>
      <c r="BQ208" s="32">
        <f t="shared" si="383"/>
        <v>735.5199999999968</v>
      </c>
      <c r="BR208" s="32">
        <f t="shared" si="384"/>
        <v>4916.2699999999968</v>
      </c>
      <c r="BS208" s="32"/>
      <c r="BT208" s="87" t="s">
        <v>593</v>
      </c>
      <c r="BU208" s="33"/>
      <c r="BV208" s="34">
        <f t="shared" si="385"/>
        <v>4180.75</v>
      </c>
      <c r="BY208" s="82"/>
      <c r="BZ208" s="82"/>
      <c r="CC208" s="37"/>
      <c r="CD208" s="71">
        <v>53709.35</v>
      </c>
    </row>
    <row r="209" spans="1:82" s="77" customFormat="1" ht="18" customHeight="1" x14ac:dyDescent="0.25">
      <c r="A209" s="99" t="s">
        <v>58</v>
      </c>
      <c r="B209" s="100"/>
      <c r="C209" s="101"/>
      <c r="D209" s="93"/>
      <c r="E209" s="98"/>
      <c r="F209" s="121" t="s">
        <v>594</v>
      </c>
      <c r="G209" s="106">
        <v>12000</v>
      </c>
      <c r="H209" s="106">
        <v>4400</v>
      </c>
      <c r="I209" s="106">
        <v>6000</v>
      </c>
      <c r="J209" s="70" t="s">
        <v>595</v>
      </c>
      <c r="K209" s="106">
        <v>4755.16</v>
      </c>
      <c r="L209" s="106">
        <v>3375</v>
      </c>
      <c r="M209" s="106">
        <f>L209</f>
        <v>3375</v>
      </c>
      <c r="N209" s="106">
        <f>I209</f>
        <v>6000</v>
      </c>
      <c r="O209" s="106">
        <f>I209</f>
        <v>6000</v>
      </c>
      <c r="P209" s="106">
        <f t="shared" si="415"/>
        <v>0</v>
      </c>
      <c r="Q209" s="106">
        <v>3375</v>
      </c>
      <c r="R209" s="106"/>
      <c r="S209" s="106">
        <v>7848.84</v>
      </c>
      <c r="T209" s="106">
        <f t="shared" si="416"/>
        <v>1848.8400000000001</v>
      </c>
      <c r="U209" s="107">
        <f t="shared" si="417"/>
        <v>3093.6800000000003</v>
      </c>
      <c r="V209" s="106">
        <f t="shared" si="418"/>
        <v>1848.8400000000001</v>
      </c>
      <c r="W209" s="108"/>
      <c r="X209" s="109">
        <v>7695.88</v>
      </c>
      <c r="Y209" s="24">
        <f t="shared" si="376"/>
        <v>-152.96000000000004</v>
      </c>
      <c r="Z209" s="85">
        <v>10400</v>
      </c>
      <c r="AA209" s="29">
        <f t="shared" si="419"/>
        <v>4400</v>
      </c>
      <c r="AB209" s="29">
        <f t="shared" si="420"/>
        <v>2551.16</v>
      </c>
      <c r="AC209" s="72"/>
      <c r="AD209" s="72"/>
      <c r="AE209" s="72"/>
      <c r="AF209" s="72"/>
      <c r="AG209" s="72"/>
      <c r="AH209" s="85">
        <f t="shared" si="421"/>
        <v>10400</v>
      </c>
      <c r="AI209" s="85">
        <f>Z209</f>
        <v>10400</v>
      </c>
      <c r="AJ209" s="85">
        <f t="shared" si="422"/>
        <v>0</v>
      </c>
      <c r="AK209" s="86">
        <v>10400</v>
      </c>
      <c r="AL209" s="123">
        <v>6526.16</v>
      </c>
      <c r="AM209" s="27">
        <f t="shared" si="379"/>
        <v>-3873.84</v>
      </c>
      <c r="AN209" s="61">
        <f t="shared" si="380"/>
        <v>-3873.84</v>
      </c>
      <c r="AO209" s="62">
        <f t="shared" si="381"/>
        <v>0</v>
      </c>
      <c r="AQ209" s="85"/>
      <c r="AR209" s="85"/>
      <c r="AS209" s="85"/>
      <c r="AT209" s="86">
        <v>4800</v>
      </c>
      <c r="AU209" s="71">
        <v>6622.76</v>
      </c>
      <c r="AV209" s="71">
        <f>CEILING(AT209,100)</f>
        <v>4800</v>
      </c>
      <c r="AW209" s="71">
        <f t="shared" si="423"/>
        <v>-5600</v>
      </c>
      <c r="AX209" s="76">
        <f t="shared" si="424"/>
        <v>-5600</v>
      </c>
      <c r="AY209" s="76">
        <f t="shared" si="425"/>
        <v>-1726.1599999999999</v>
      </c>
      <c r="BE209" s="71">
        <v>4800</v>
      </c>
      <c r="BF209" s="71">
        <f>AV209</f>
        <v>4800</v>
      </c>
      <c r="BG209" s="78">
        <f t="shared" si="426"/>
        <v>0</v>
      </c>
      <c r="BH209" s="71">
        <f t="shared" si="427"/>
        <v>4800</v>
      </c>
      <c r="BI209" s="33">
        <f t="shared" si="428"/>
        <v>0</v>
      </c>
      <c r="BJ209" s="33">
        <f t="shared" si="429"/>
        <v>-1822.7600000000002</v>
      </c>
      <c r="BK209" s="71">
        <v>1817.12</v>
      </c>
      <c r="BL209" s="79">
        <f t="shared" si="430"/>
        <v>-2982.88</v>
      </c>
      <c r="BM209" s="79">
        <f t="shared" si="431"/>
        <v>-2982.88</v>
      </c>
      <c r="BN209" s="32"/>
      <c r="BO209" s="32"/>
      <c r="BP209" s="71">
        <v>1816.03</v>
      </c>
      <c r="BQ209" s="32">
        <f t="shared" si="383"/>
        <v>-1.0899999999999181</v>
      </c>
      <c r="BR209" s="32">
        <f t="shared" si="384"/>
        <v>-2983.9700000000003</v>
      </c>
      <c r="BS209" s="32"/>
      <c r="BT209" s="32"/>
      <c r="BU209" s="33"/>
      <c r="BV209" s="34">
        <f t="shared" si="385"/>
        <v>0</v>
      </c>
      <c r="BY209" s="82"/>
      <c r="BZ209" s="82"/>
      <c r="CC209" s="37"/>
      <c r="CD209" s="71">
        <v>6622.76</v>
      </c>
    </row>
    <row r="210" spans="1:82" s="77" customFormat="1" ht="18" hidden="1" customHeight="1" x14ac:dyDescent="0.25">
      <c r="A210" s="99"/>
      <c r="B210" s="100"/>
      <c r="C210" s="101"/>
      <c r="D210" s="93"/>
      <c r="E210" s="98"/>
      <c r="F210" s="121" t="s">
        <v>596</v>
      </c>
      <c r="G210" s="106">
        <v>0</v>
      </c>
      <c r="H210" s="106">
        <v>0</v>
      </c>
      <c r="I210" s="106">
        <v>0</v>
      </c>
      <c r="J210" s="70"/>
      <c r="K210" s="106">
        <v>0</v>
      </c>
      <c r="L210" s="106"/>
      <c r="M210" s="106"/>
      <c r="N210" s="106"/>
      <c r="O210" s="106"/>
      <c r="P210" s="106">
        <f t="shared" si="415"/>
        <v>0</v>
      </c>
      <c r="Q210" s="106"/>
      <c r="R210" s="106"/>
      <c r="S210" s="106"/>
      <c r="T210" s="106">
        <f t="shared" si="416"/>
        <v>0</v>
      </c>
      <c r="U210" s="107">
        <f t="shared" si="417"/>
        <v>0</v>
      </c>
      <c r="V210" s="106">
        <f t="shared" si="418"/>
        <v>0</v>
      </c>
      <c r="W210" s="108"/>
      <c r="X210" s="109"/>
      <c r="Y210" s="24">
        <f t="shared" si="376"/>
        <v>0</v>
      </c>
      <c r="Z210" s="85">
        <f>S210</f>
        <v>0</v>
      </c>
      <c r="AA210" s="29">
        <f t="shared" si="419"/>
        <v>0</v>
      </c>
      <c r="AB210" s="29">
        <f t="shared" si="420"/>
        <v>0</v>
      </c>
      <c r="AC210" s="72"/>
      <c r="AD210" s="72"/>
      <c r="AE210" s="72"/>
      <c r="AF210" s="72"/>
      <c r="AG210" s="72"/>
      <c r="AH210" s="85">
        <f t="shared" si="421"/>
        <v>0</v>
      </c>
      <c r="AI210" s="85"/>
      <c r="AJ210" s="85">
        <f t="shared" si="422"/>
        <v>0</v>
      </c>
      <c r="AK210" s="86"/>
      <c r="AL210" s="133"/>
      <c r="AM210" s="27">
        <f t="shared" si="379"/>
        <v>0</v>
      </c>
      <c r="AN210" s="61">
        <f t="shared" si="380"/>
        <v>0</v>
      </c>
      <c r="AO210" s="62">
        <f t="shared" si="381"/>
        <v>0</v>
      </c>
      <c r="AQ210" s="85"/>
      <c r="AR210" s="85"/>
      <c r="AS210" s="85"/>
      <c r="AT210" s="86"/>
      <c r="AU210" s="71">
        <f>CEILING(BD210,100)</f>
        <v>0</v>
      </c>
      <c r="AV210" s="71">
        <f>CEILING(AT210,100)</f>
        <v>0</v>
      </c>
      <c r="AW210" s="71">
        <f t="shared" si="423"/>
        <v>0</v>
      </c>
      <c r="AX210" s="76">
        <f t="shared" si="424"/>
        <v>0</v>
      </c>
      <c r="AY210" s="76">
        <f t="shared" si="425"/>
        <v>0</v>
      </c>
      <c r="BE210" s="71">
        <v>0</v>
      </c>
      <c r="BF210" s="71"/>
      <c r="BG210" s="78">
        <f t="shared" si="426"/>
        <v>0</v>
      </c>
      <c r="BH210" s="71">
        <f t="shared" si="427"/>
        <v>0</v>
      </c>
      <c r="BI210" s="33">
        <f t="shared" si="428"/>
        <v>0</v>
      </c>
      <c r="BJ210" s="33">
        <f t="shared" si="429"/>
        <v>0</v>
      </c>
      <c r="BK210" s="71"/>
      <c r="BL210" s="79">
        <f t="shared" si="430"/>
        <v>0</v>
      </c>
      <c r="BM210" s="79">
        <f t="shared" si="431"/>
        <v>0</v>
      </c>
      <c r="BN210" s="32"/>
      <c r="BO210" s="32"/>
      <c r="BP210" s="71"/>
      <c r="BQ210" s="32">
        <f t="shared" si="383"/>
        <v>0</v>
      </c>
      <c r="BR210" s="32">
        <f t="shared" si="384"/>
        <v>0</v>
      </c>
      <c r="BS210" s="32"/>
      <c r="BT210" s="32"/>
      <c r="BU210" s="33"/>
      <c r="BV210" s="34">
        <f t="shared" si="385"/>
        <v>0</v>
      </c>
      <c r="BY210" s="82"/>
      <c r="BZ210" s="82"/>
      <c r="CC210" s="37"/>
      <c r="CD210" s="71"/>
    </row>
    <row r="211" spans="1:82" s="77" customFormat="1" ht="18" customHeight="1" x14ac:dyDescent="0.25">
      <c r="A211" s="99" t="s">
        <v>58</v>
      </c>
      <c r="B211" s="100"/>
      <c r="C211" s="101"/>
      <c r="D211" s="93"/>
      <c r="E211" s="98"/>
      <c r="F211" s="121" t="s">
        <v>597</v>
      </c>
      <c r="G211" s="106">
        <v>300</v>
      </c>
      <c r="H211" s="106">
        <v>400</v>
      </c>
      <c r="I211" s="106">
        <v>300</v>
      </c>
      <c r="J211" s="70"/>
      <c r="K211" s="106">
        <v>285</v>
      </c>
      <c r="L211" s="106"/>
      <c r="M211" s="106"/>
      <c r="N211" s="106"/>
      <c r="O211" s="106">
        <v>0</v>
      </c>
      <c r="P211" s="106">
        <f t="shared" si="415"/>
        <v>-300</v>
      </c>
      <c r="Q211" s="106">
        <v>315</v>
      </c>
      <c r="R211" s="106"/>
      <c r="S211" s="106">
        <f>375+(30*6)</f>
        <v>555</v>
      </c>
      <c r="T211" s="106">
        <f t="shared" si="416"/>
        <v>255</v>
      </c>
      <c r="U211" s="107">
        <f t="shared" si="417"/>
        <v>270</v>
      </c>
      <c r="V211" s="106">
        <f t="shared" si="418"/>
        <v>555</v>
      </c>
      <c r="W211" s="108"/>
      <c r="X211" s="109">
        <v>375</v>
      </c>
      <c r="Y211" s="24">
        <f t="shared" si="376"/>
        <v>-180</v>
      </c>
      <c r="Z211" s="85">
        <v>375</v>
      </c>
      <c r="AA211" s="29">
        <f t="shared" si="419"/>
        <v>75</v>
      </c>
      <c r="AB211" s="29">
        <f t="shared" si="420"/>
        <v>-180</v>
      </c>
      <c r="AC211" s="72"/>
      <c r="AD211" s="72"/>
      <c r="AE211" s="72"/>
      <c r="AF211" s="72"/>
      <c r="AG211" s="72"/>
      <c r="AH211" s="85">
        <f t="shared" si="421"/>
        <v>375</v>
      </c>
      <c r="AI211" s="85">
        <f>Z211</f>
        <v>375</v>
      </c>
      <c r="AJ211" s="85">
        <f t="shared" si="422"/>
        <v>0</v>
      </c>
      <c r="AK211" s="86">
        <v>535</v>
      </c>
      <c r="AL211" s="123">
        <v>535</v>
      </c>
      <c r="AM211" s="27">
        <f t="shared" si="379"/>
        <v>160</v>
      </c>
      <c r="AN211" s="61">
        <f t="shared" si="380"/>
        <v>160</v>
      </c>
      <c r="AO211" s="62">
        <f t="shared" si="381"/>
        <v>0</v>
      </c>
      <c r="AQ211" s="85" t="s">
        <v>271</v>
      </c>
      <c r="AR211" s="85" t="s">
        <v>286</v>
      </c>
      <c r="AS211" s="85" t="s">
        <v>271</v>
      </c>
      <c r="AT211" s="86">
        <v>535</v>
      </c>
      <c r="AU211" s="71">
        <v>535</v>
      </c>
      <c r="AV211" s="71">
        <f>CEILING(AT211,100)</f>
        <v>600</v>
      </c>
      <c r="AW211" s="71">
        <f t="shared" si="423"/>
        <v>225</v>
      </c>
      <c r="AX211" s="76">
        <f t="shared" si="424"/>
        <v>160</v>
      </c>
      <c r="AY211" s="76">
        <f t="shared" si="425"/>
        <v>0</v>
      </c>
      <c r="BE211" s="71">
        <v>600</v>
      </c>
      <c r="BF211" s="71">
        <f>AV211</f>
        <v>600</v>
      </c>
      <c r="BG211" s="78">
        <f t="shared" si="426"/>
        <v>0</v>
      </c>
      <c r="BH211" s="71">
        <f t="shared" si="427"/>
        <v>600</v>
      </c>
      <c r="BI211" s="33">
        <f t="shared" si="428"/>
        <v>0</v>
      </c>
      <c r="BJ211" s="33">
        <f t="shared" si="429"/>
        <v>65</v>
      </c>
      <c r="BK211" s="71">
        <f>BH211</f>
        <v>600</v>
      </c>
      <c r="BL211" s="79">
        <f t="shared" si="430"/>
        <v>0</v>
      </c>
      <c r="BM211" s="79">
        <f t="shared" si="431"/>
        <v>0</v>
      </c>
      <c r="BN211" s="87" t="s">
        <v>598</v>
      </c>
      <c r="BO211" s="87" t="s">
        <v>598</v>
      </c>
      <c r="BP211" s="71">
        <v>740</v>
      </c>
      <c r="BQ211" s="32">
        <f t="shared" si="383"/>
        <v>140</v>
      </c>
      <c r="BR211" s="32">
        <f t="shared" si="384"/>
        <v>140</v>
      </c>
      <c r="BS211" s="32"/>
      <c r="BT211" s="87" t="s">
        <v>598</v>
      </c>
      <c r="BU211" s="33"/>
      <c r="BV211" s="34">
        <f t="shared" si="385"/>
        <v>0</v>
      </c>
      <c r="BY211" s="82"/>
      <c r="BZ211" s="82"/>
      <c r="CC211" s="37"/>
      <c r="CD211" s="71">
        <v>535</v>
      </c>
    </row>
    <row r="212" spans="1:82" s="77" customFormat="1" ht="18" customHeight="1" x14ac:dyDescent="0.25">
      <c r="A212" s="99" t="s">
        <v>58</v>
      </c>
      <c r="B212" s="100"/>
      <c r="C212" s="101"/>
      <c r="D212" s="93"/>
      <c r="E212" s="98"/>
      <c r="F212" s="121" t="s">
        <v>599</v>
      </c>
      <c r="G212" s="106">
        <v>8000</v>
      </c>
      <c r="H212" s="106">
        <v>7000</v>
      </c>
      <c r="I212" s="106">
        <v>12200</v>
      </c>
      <c r="J212" s="70" t="s">
        <v>600</v>
      </c>
      <c r="K212" s="106">
        <v>6909.97</v>
      </c>
      <c r="L212" s="106">
        <v>730.83</v>
      </c>
      <c r="M212" s="106">
        <f>6000</f>
        <v>6000</v>
      </c>
      <c r="N212" s="106">
        <f>M212*2</f>
        <v>12000</v>
      </c>
      <c r="O212" s="106">
        <f>5200+610+1525</f>
        <v>7335</v>
      </c>
      <c r="P212" s="106">
        <f t="shared" si="415"/>
        <v>-200</v>
      </c>
      <c r="Q212" s="106">
        <v>730.83</v>
      </c>
      <c r="R212" s="106"/>
      <c r="S212" s="106">
        <f>Q212+5767.06+1525</f>
        <v>8022.89</v>
      </c>
      <c r="T212" s="106">
        <f t="shared" si="416"/>
        <v>-4177.1099999999997</v>
      </c>
      <c r="U212" s="107">
        <f t="shared" si="417"/>
        <v>1112.92</v>
      </c>
      <c r="V212" s="106">
        <f t="shared" si="418"/>
        <v>687.89000000000033</v>
      </c>
      <c r="W212" s="108" t="s">
        <v>601</v>
      </c>
      <c r="X212" s="109">
        <f>8022.89</f>
        <v>8022.89</v>
      </c>
      <c r="Y212" s="24">
        <f t="shared" si="376"/>
        <v>0</v>
      </c>
      <c r="Z212" s="85">
        <v>7902</v>
      </c>
      <c r="AA212" s="29">
        <f t="shared" si="419"/>
        <v>-4298</v>
      </c>
      <c r="AB212" s="29">
        <f t="shared" si="420"/>
        <v>-120.89000000000033</v>
      </c>
      <c r="AC212" s="72"/>
      <c r="AD212" s="72"/>
      <c r="AE212" s="72"/>
      <c r="AF212" s="72"/>
      <c r="AG212" s="72"/>
      <c r="AH212" s="85">
        <f t="shared" si="421"/>
        <v>7902</v>
      </c>
      <c r="AI212" s="85">
        <f>500+783.83+5767+1525</f>
        <v>8575.83</v>
      </c>
      <c r="AJ212" s="85">
        <f t="shared" si="422"/>
        <v>0</v>
      </c>
      <c r="AK212" s="86">
        <v>8766.44</v>
      </c>
      <c r="AL212" s="123">
        <f>2999.44+5767.06</f>
        <v>8766.5</v>
      </c>
      <c r="AM212" s="27">
        <f t="shared" si="379"/>
        <v>190.67000000000007</v>
      </c>
      <c r="AN212" s="61">
        <f t="shared" si="380"/>
        <v>864.5</v>
      </c>
      <c r="AO212" s="62">
        <f t="shared" si="381"/>
        <v>673.82999999999993</v>
      </c>
      <c r="AQ212" s="85" t="s">
        <v>602</v>
      </c>
      <c r="AR212" s="85" t="s">
        <v>602</v>
      </c>
      <c r="AS212" s="85" t="s">
        <v>602</v>
      </c>
      <c r="AT212" s="86">
        <f>1474.44+5767+1525</f>
        <v>8766.44</v>
      </c>
      <c r="AU212" s="71">
        <v>9437.5</v>
      </c>
      <c r="AV212" s="71">
        <f>CEILING(AT212,100)</f>
        <v>8800</v>
      </c>
      <c r="AW212" s="71">
        <f t="shared" si="423"/>
        <v>898</v>
      </c>
      <c r="AX212" s="76">
        <f t="shared" si="424"/>
        <v>864.44000000000051</v>
      </c>
      <c r="AY212" s="76">
        <f t="shared" si="425"/>
        <v>-5.9999999999490683E-2</v>
      </c>
      <c r="BE212" s="71">
        <v>8800</v>
      </c>
      <c r="BF212" s="71">
        <f>1610.4+738.1+500+5676.06</f>
        <v>8524.5600000000013</v>
      </c>
      <c r="BG212" s="78">
        <f t="shared" si="426"/>
        <v>0</v>
      </c>
      <c r="BH212" s="71">
        <f t="shared" si="427"/>
        <v>8524.5600000000013</v>
      </c>
      <c r="BI212" s="33">
        <f t="shared" si="428"/>
        <v>-275.43999999999869</v>
      </c>
      <c r="BJ212" s="33">
        <f t="shared" si="429"/>
        <v>-912.93999999999869</v>
      </c>
      <c r="BK212" s="71">
        <v>7877.46</v>
      </c>
      <c r="BL212" s="79">
        <f t="shared" si="430"/>
        <v>-647.10000000000127</v>
      </c>
      <c r="BM212" s="79">
        <f t="shared" si="431"/>
        <v>-922.54</v>
      </c>
      <c r="BN212" s="87" t="s">
        <v>603</v>
      </c>
      <c r="BO212" s="87" t="s">
        <v>603</v>
      </c>
      <c r="BP212" s="71">
        <f>8115.56-738.1</f>
        <v>7377.46</v>
      </c>
      <c r="BQ212" s="32">
        <f t="shared" si="383"/>
        <v>-500</v>
      </c>
      <c r="BR212" s="32">
        <f t="shared" si="384"/>
        <v>-1422.54</v>
      </c>
      <c r="BS212" s="87" t="s">
        <v>604</v>
      </c>
      <c r="BT212" s="87" t="s">
        <v>603</v>
      </c>
      <c r="BU212" s="33"/>
      <c r="BV212" s="34">
        <f t="shared" si="385"/>
        <v>-275.43999999999869</v>
      </c>
      <c r="BY212" s="82"/>
      <c r="BZ212" s="82"/>
      <c r="CC212" s="37"/>
      <c r="CD212" s="71">
        <v>9437.5</v>
      </c>
    </row>
    <row r="213" spans="1:82" s="77" customFormat="1" ht="18" customHeight="1" x14ac:dyDescent="0.25">
      <c r="A213" s="99" t="s">
        <v>58</v>
      </c>
      <c r="B213" s="100"/>
      <c r="C213" s="101"/>
      <c r="D213" s="93"/>
      <c r="E213" s="98"/>
      <c r="F213" s="121" t="s">
        <v>605</v>
      </c>
      <c r="G213" s="106">
        <v>8000</v>
      </c>
      <c r="H213" s="106">
        <v>7000</v>
      </c>
      <c r="I213" s="106">
        <v>12200</v>
      </c>
      <c r="J213" s="70" t="s">
        <v>600</v>
      </c>
      <c r="K213" s="106">
        <v>6909.97</v>
      </c>
      <c r="L213" s="106">
        <v>730.83</v>
      </c>
      <c r="M213" s="106">
        <f>6000</f>
        <v>6000</v>
      </c>
      <c r="N213" s="106">
        <f>M213*2</f>
        <v>12000</v>
      </c>
      <c r="O213" s="106">
        <f>5200+610+1525</f>
        <v>7335</v>
      </c>
      <c r="P213" s="106">
        <f t="shared" si="415"/>
        <v>-200</v>
      </c>
      <c r="Q213" s="106">
        <v>730.83</v>
      </c>
      <c r="R213" s="106"/>
      <c r="S213" s="106">
        <f>Q213+5767.06+1525</f>
        <v>8022.89</v>
      </c>
      <c r="T213" s="106">
        <f t="shared" si="416"/>
        <v>-4177.1099999999997</v>
      </c>
      <c r="U213" s="107">
        <f t="shared" si="417"/>
        <v>1112.92</v>
      </c>
      <c r="V213" s="106">
        <f t="shared" si="418"/>
        <v>687.89000000000033</v>
      </c>
      <c r="W213" s="108" t="s">
        <v>601</v>
      </c>
      <c r="X213" s="109">
        <f>8022.89</f>
        <v>8022.89</v>
      </c>
      <c r="Y213" s="24">
        <f t="shared" si="376"/>
        <v>0</v>
      </c>
      <c r="Z213" s="85">
        <v>0</v>
      </c>
      <c r="AA213" s="29">
        <f t="shared" si="419"/>
        <v>-12200</v>
      </c>
      <c r="AB213" s="29">
        <f t="shared" si="420"/>
        <v>-8022.89</v>
      </c>
      <c r="AC213" s="72"/>
      <c r="AD213" s="72"/>
      <c r="AE213" s="72"/>
      <c r="AF213" s="72"/>
      <c r="AG213" s="72"/>
      <c r="AH213" s="85">
        <f t="shared" si="421"/>
        <v>0</v>
      </c>
      <c r="AI213" s="85">
        <f>4263.9+2500+(24+374.56)*2</f>
        <v>7561.0199999999995</v>
      </c>
      <c r="AJ213" s="85">
        <f t="shared" si="422"/>
        <v>0</v>
      </c>
      <c r="AK213" s="86">
        <v>7561.0199999999995</v>
      </c>
      <c r="AL213" s="123">
        <f>7162.46+409.4</f>
        <v>7571.86</v>
      </c>
      <c r="AM213" s="27">
        <f t="shared" si="379"/>
        <v>10.840000000000146</v>
      </c>
      <c r="AN213" s="61">
        <f t="shared" si="380"/>
        <v>7571.86</v>
      </c>
      <c r="AO213" s="62">
        <f t="shared" si="381"/>
        <v>7561.0199999999995</v>
      </c>
      <c r="AQ213" s="71" t="s">
        <v>606</v>
      </c>
      <c r="AR213" s="71" t="s">
        <v>606</v>
      </c>
      <c r="AS213" s="71" t="s">
        <v>606</v>
      </c>
      <c r="AT213" s="86">
        <f>AL213</f>
        <v>7571.86</v>
      </c>
      <c r="AU213" s="71">
        <v>7162.46</v>
      </c>
      <c r="AV213" s="71">
        <f>CEILING(AT213,100)</f>
        <v>7600</v>
      </c>
      <c r="AW213" s="71">
        <f t="shared" si="423"/>
        <v>7600</v>
      </c>
      <c r="AX213" s="76">
        <f t="shared" si="424"/>
        <v>7571.86</v>
      </c>
      <c r="AY213" s="76">
        <f t="shared" si="425"/>
        <v>0</v>
      </c>
      <c r="BE213" s="71">
        <v>7600</v>
      </c>
      <c r="BF213" s="71">
        <f>AV213</f>
        <v>7600</v>
      </c>
      <c r="BG213" s="78">
        <f t="shared" si="426"/>
        <v>0</v>
      </c>
      <c r="BH213" s="71">
        <f t="shared" si="427"/>
        <v>7600</v>
      </c>
      <c r="BI213" s="33">
        <f t="shared" si="428"/>
        <v>0</v>
      </c>
      <c r="BJ213" s="33">
        <f t="shared" si="429"/>
        <v>437.53999999999996</v>
      </c>
      <c r="BK213" s="71">
        <f>BH213</f>
        <v>7600</v>
      </c>
      <c r="BL213" s="79">
        <f t="shared" si="430"/>
        <v>0</v>
      </c>
      <c r="BM213" s="79">
        <f t="shared" si="431"/>
        <v>0</v>
      </c>
      <c r="BN213" s="87" t="s">
        <v>271</v>
      </c>
      <c r="BO213" s="87" t="s">
        <v>271</v>
      </c>
      <c r="BP213" s="71">
        <v>3126.61</v>
      </c>
      <c r="BQ213" s="32">
        <f t="shared" si="383"/>
        <v>-4473.3899999999994</v>
      </c>
      <c r="BR213" s="32">
        <f t="shared" si="384"/>
        <v>-4473.3899999999994</v>
      </c>
      <c r="BS213" s="32"/>
      <c r="BT213" s="87" t="s">
        <v>271</v>
      </c>
      <c r="BU213" s="33"/>
      <c r="BV213" s="34">
        <f t="shared" si="385"/>
        <v>0</v>
      </c>
      <c r="BY213" s="82"/>
      <c r="BZ213" s="82"/>
      <c r="CC213" s="37"/>
      <c r="CD213" s="71">
        <v>7162.46</v>
      </c>
    </row>
    <row r="214" spans="1:82" s="77" customFormat="1" ht="18" hidden="1" customHeight="1" x14ac:dyDescent="0.25">
      <c r="A214" s="99"/>
      <c r="B214" s="100"/>
      <c r="C214" s="101"/>
      <c r="D214" s="93"/>
      <c r="E214" s="98"/>
      <c r="F214" s="121" t="s">
        <v>607</v>
      </c>
      <c r="G214" s="106">
        <v>600</v>
      </c>
      <c r="H214" s="106">
        <v>600</v>
      </c>
      <c r="I214" s="106">
        <v>600</v>
      </c>
      <c r="J214" s="70"/>
      <c r="K214" s="106">
        <v>850</v>
      </c>
      <c r="L214" s="106"/>
      <c r="M214" s="106"/>
      <c r="N214" s="106"/>
      <c r="O214" s="106">
        <v>0</v>
      </c>
      <c r="P214" s="106">
        <f t="shared" si="415"/>
        <v>-600</v>
      </c>
      <c r="Q214" s="106"/>
      <c r="R214" s="106"/>
      <c r="S214" s="106">
        <v>0</v>
      </c>
      <c r="T214" s="106">
        <f t="shared" si="416"/>
        <v>-600</v>
      </c>
      <c r="U214" s="107">
        <f t="shared" si="417"/>
        <v>-850</v>
      </c>
      <c r="V214" s="106">
        <f t="shared" si="418"/>
        <v>0</v>
      </c>
      <c r="W214" s="108" t="s">
        <v>608</v>
      </c>
      <c r="X214" s="109">
        <v>0</v>
      </c>
      <c r="Y214" s="24">
        <f t="shared" si="376"/>
        <v>0</v>
      </c>
      <c r="Z214" s="85">
        <f>S214</f>
        <v>0</v>
      </c>
      <c r="AA214" s="29">
        <f t="shared" si="419"/>
        <v>-600</v>
      </c>
      <c r="AB214" s="29">
        <f t="shared" si="420"/>
        <v>0</v>
      </c>
      <c r="AC214" s="72"/>
      <c r="AD214" s="72"/>
      <c r="AE214" s="72"/>
      <c r="AF214" s="72"/>
      <c r="AG214" s="72"/>
      <c r="AH214" s="85">
        <f t="shared" si="421"/>
        <v>0</v>
      </c>
      <c r="AI214" s="85"/>
      <c r="AJ214" s="85">
        <f t="shared" si="422"/>
        <v>0</v>
      </c>
      <c r="AK214" s="86"/>
      <c r="AL214" s="85"/>
      <c r="AM214" s="27">
        <f t="shared" si="379"/>
        <v>0</v>
      </c>
      <c r="AN214" s="61">
        <f t="shared" si="380"/>
        <v>0</v>
      </c>
      <c r="AO214" s="62">
        <f t="shared" si="381"/>
        <v>0</v>
      </c>
      <c r="AQ214" s="85"/>
      <c r="AR214" s="85"/>
      <c r="AS214" s="85"/>
      <c r="AT214" s="86"/>
      <c r="AU214" s="85">
        <v>0</v>
      </c>
      <c r="AV214" s="85">
        <v>0</v>
      </c>
      <c r="AW214" s="85">
        <f t="shared" si="423"/>
        <v>0</v>
      </c>
      <c r="AX214" s="76">
        <f t="shared" si="424"/>
        <v>0</v>
      </c>
      <c r="AY214" s="76">
        <f t="shared" si="425"/>
        <v>0</v>
      </c>
      <c r="BE214" s="85">
        <v>0</v>
      </c>
      <c r="BF214" s="85">
        <v>0</v>
      </c>
      <c r="BG214" s="78">
        <f t="shared" si="426"/>
        <v>0</v>
      </c>
      <c r="BH214" s="85"/>
      <c r="BI214" s="78">
        <f t="shared" si="428"/>
        <v>0</v>
      </c>
      <c r="BJ214" s="78">
        <f t="shared" si="429"/>
        <v>0</v>
      </c>
      <c r="BK214" s="85"/>
      <c r="BL214" s="79">
        <f t="shared" si="430"/>
        <v>0</v>
      </c>
      <c r="BM214" s="79">
        <f t="shared" si="431"/>
        <v>0</v>
      </c>
      <c r="BN214" s="87"/>
      <c r="BO214" s="32"/>
      <c r="BP214" s="85"/>
      <c r="BQ214" s="31">
        <f t="shared" si="383"/>
        <v>0</v>
      </c>
      <c r="BR214" s="31">
        <f t="shared" si="384"/>
        <v>0</v>
      </c>
      <c r="BS214" s="32"/>
      <c r="BT214" s="87"/>
      <c r="BU214" s="33"/>
      <c r="BV214" s="34">
        <f t="shared" si="385"/>
        <v>0</v>
      </c>
      <c r="BY214" s="82"/>
      <c r="BZ214" s="82"/>
      <c r="CC214" s="37"/>
      <c r="CD214" s="85"/>
    </row>
    <row r="215" spans="1:82" s="77" customFormat="1" ht="18" hidden="1" customHeight="1" x14ac:dyDescent="0.25">
      <c r="A215" s="99" t="s">
        <v>58</v>
      </c>
      <c r="B215" s="100"/>
      <c r="C215" s="119" t="s">
        <v>609</v>
      </c>
      <c r="D215" s="119"/>
      <c r="E215" s="120"/>
      <c r="F215" s="40"/>
      <c r="G215" s="20">
        <v>0</v>
      </c>
      <c r="H215" s="20"/>
      <c r="I215" s="20">
        <v>0</v>
      </c>
      <c r="J215" s="70"/>
      <c r="K215" s="20">
        <v>0</v>
      </c>
      <c r="L215" s="20"/>
      <c r="M215" s="20"/>
      <c r="N215" s="20"/>
      <c r="O215" s="20"/>
      <c r="P215" s="20">
        <f t="shared" si="415"/>
        <v>0</v>
      </c>
      <c r="Q215" s="20"/>
      <c r="R215" s="20"/>
      <c r="S215" s="20"/>
      <c r="T215" s="20">
        <f t="shared" si="416"/>
        <v>0</v>
      </c>
      <c r="U215" s="21">
        <f t="shared" si="417"/>
        <v>0</v>
      </c>
      <c r="V215" s="20">
        <f t="shared" si="418"/>
        <v>0</v>
      </c>
      <c r="W215" s="22"/>
      <c r="X215" s="23"/>
      <c r="Y215" s="24">
        <f t="shared" si="376"/>
        <v>0</v>
      </c>
      <c r="Z215" s="25"/>
      <c r="AA215" s="110">
        <f t="shared" si="419"/>
        <v>0</v>
      </c>
      <c r="AB215" s="110">
        <f t="shared" si="420"/>
        <v>0</v>
      </c>
      <c r="AC215" s="72"/>
      <c r="AD215" s="72"/>
      <c r="AE215" s="72"/>
      <c r="AF215" s="72"/>
      <c r="AG215" s="72"/>
      <c r="AH215" s="25"/>
      <c r="AI215" s="25"/>
      <c r="AJ215" s="25">
        <f t="shared" si="422"/>
        <v>0</v>
      </c>
      <c r="AK215" s="26"/>
      <c r="AL215" s="25"/>
      <c r="AM215" s="27">
        <f t="shared" si="379"/>
        <v>0</v>
      </c>
      <c r="AN215" s="61">
        <f t="shared" si="380"/>
        <v>0</v>
      </c>
      <c r="AO215" s="62">
        <f t="shared" si="381"/>
        <v>0</v>
      </c>
      <c r="AQ215" s="25"/>
      <c r="AR215" s="25"/>
      <c r="AS215" s="25"/>
      <c r="AT215" s="26"/>
      <c r="AU215" s="25"/>
      <c r="AV215" s="25"/>
      <c r="AW215" s="25">
        <f t="shared" si="423"/>
        <v>0</v>
      </c>
      <c r="AX215" s="76">
        <f t="shared" si="424"/>
        <v>0</v>
      </c>
      <c r="AY215" s="76">
        <f t="shared" si="425"/>
        <v>0</v>
      </c>
      <c r="BE215" s="25"/>
      <c r="BF215" s="25"/>
      <c r="BG215" s="78">
        <f t="shared" si="426"/>
        <v>0</v>
      </c>
      <c r="BH215" s="25"/>
      <c r="BI215" s="78">
        <f t="shared" si="428"/>
        <v>0</v>
      </c>
      <c r="BJ215" s="78">
        <f t="shared" si="429"/>
        <v>0</v>
      </c>
      <c r="BK215" s="25"/>
      <c r="BL215" s="79">
        <f t="shared" si="430"/>
        <v>0</v>
      </c>
      <c r="BM215" s="79">
        <f t="shared" si="431"/>
        <v>0</v>
      </c>
      <c r="BN215" s="32"/>
      <c r="BO215" s="32"/>
      <c r="BP215" s="25"/>
      <c r="BQ215" s="31">
        <f t="shared" si="383"/>
        <v>0</v>
      </c>
      <c r="BR215" s="31">
        <f t="shared" si="384"/>
        <v>0</v>
      </c>
      <c r="BS215" s="32"/>
      <c r="BT215" s="32"/>
      <c r="BU215" s="33"/>
      <c r="BV215" s="34">
        <f t="shared" si="385"/>
        <v>0</v>
      </c>
      <c r="BY215" s="82"/>
      <c r="BZ215" s="82"/>
      <c r="CC215" s="37"/>
      <c r="CD215" s="25"/>
    </row>
    <row r="216" spans="1:82" s="77" customFormat="1" ht="18" hidden="1" customHeight="1" x14ac:dyDescent="0.25">
      <c r="A216" s="99" t="s">
        <v>58</v>
      </c>
      <c r="B216" s="100"/>
      <c r="C216" s="101"/>
      <c r="D216" s="93" t="s">
        <v>610</v>
      </c>
      <c r="E216" s="98"/>
      <c r="F216" s="104"/>
      <c r="G216" s="46">
        <v>0</v>
      </c>
      <c r="H216" s="46"/>
      <c r="I216" s="46">
        <v>0</v>
      </c>
      <c r="J216" s="70"/>
      <c r="K216" s="46">
        <v>0</v>
      </c>
      <c r="L216" s="46"/>
      <c r="M216" s="46"/>
      <c r="N216" s="46"/>
      <c r="O216" s="46"/>
      <c r="P216" s="46">
        <f t="shared" si="415"/>
        <v>0</v>
      </c>
      <c r="Q216" s="46"/>
      <c r="R216" s="46"/>
      <c r="S216" s="46"/>
      <c r="T216" s="46">
        <f t="shared" si="416"/>
        <v>0</v>
      </c>
      <c r="U216" s="21">
        <f t="shared" si="417"/>
        <v>0</v>
      </c>
      <c r="V216" s="46">
        <f t="shared" si="418"/>
        <v>0</v>
      </c>
      <c r="W216" s="47"/>
      <c r="X216" s="23"/>
      <c r="Y216" s="24">
        <f t="shared" si="376"/>
        <v>0</v>
      </c>
      <c r="Z216" s="48"/>
      <c r="AA216" s="110">
        <f t="shared" si="419"/>
        <v>0</v>
      </c>
      <c r="AB216" s="110">
        <f t="shared" si="420"/>
        <v>0</v>
      </c>
      <c r="AC216" s="72"/>
      <c r="AD216" s="72"/>
      <c r="AE216" s="72"/>
      <c r="AF216" s="72"/>
      <c r="AG216" s="72"/>
      <c r="AH216" s="48"/>
      <c r="AI216" s="48"/>
      <c r="AJ216" s="48">
        <f t="shared" si="422"/>
        <v>0</v>
      </c>
      <c r="AK216" s="49"/>
      <c r="AL216" s="48"/>
      <c r="AM216" s="27">
        <f t="shared" si="379"/>
        <v>0</v>
      </c>
      <c r="AN216" s="61">
        <f t="shared" si="380"/>
        <v>0</v>
      </c>
      <c r="AO216" s="62">
        <f t="shared" si="381"/>
        <v>0</v>
      </c>
      <c r="AQ216" s="48"/>
      <c r="AR216" s="48"/>
      <c r="AS216" s="48"/>
      <c r="AT216" s="49"/>
      <c r="AU216" s="48"/>
      <c r="AV216" s="48"/>
      <c r="AW216" s="48">
        <f t="shared" si="423"/>
        <v>0</v>
      </c>
      <c r="AX216" s="76">
        <f t="shared" si="424"/>
        <v>0</v>
      </c>
      <c r="AY216" s="76">
        <f t="shared" si="425"/>
        <v>0</v>
      </c>
      <c r="BE216" s="48"/>
      <c r="BF216" s="48"/>
      <c r="BG216" s="78">
        <f t="shared" si="426"/>
        <v>0</v>
      </c>
      <c r="BH216" s="48"/>
      <c r="BI216" s="78">
        <f t="shared" si="428"/>
        <v>0</v>
      </c>
      <c r="BJ216" s="78">
        <f t="shared" si="429"/>
        <v>0</v>
      </c>
      <c r="BK216" s="48"/>
      <c r="BL216" s="79">
        <f t="shared" si="430"/>
        <v>0</v>
      </c>
      <c r="BM216" s="79">
        <f t="shared" si="431"/>
        <v>0</v>
      </c>
      <c r="BN216" s="32"/>
      <c r="BO216" s="32"/>
      <c r="BP216" s="48"/>
      <c r="BQ216" s="31">
        <f t="shared" si="383"/>
        <v>0</v>
      </c>
      <c r="BR216" s="31">
        <f t="shared" si="384"/>
        <v>0</v>
      </c>
      <c r="BS216" s="32"/>
      <c r="BT216" s="32"/>
      <c r="BU216" s="33"/>
      <c r="BV216" s="34">
        <f t="shared" si="385"/>
        <v>0</v>
      </c>
      <c r="BY216" s="82"/>
      <c r="BZ216" s="82"/>
      <c r="CC216" s="37"/>
      <c r="CD216" s="48"/>
    </row>
    <row r="217" spans="1:82" s="77" customFormat="1" ht="18" hidden="1" customHeight="1" x14ac:dyDescent="0.25">
      <c r="A217" s="99" t="s">
        <v>58</v>
      </c>
      <c r="B217" s="100"/>
      <c r="C217" s="101"/>
      <c r="D217" s="93"/>
      <c r="E217" s="98" t="s">
        <v>611</v>
      </c>
      <c r="F217" s="105"/>
      <c r="G217" s="55">
        <v>0</v>
      </c>
      <c r="H217" s="55"/>
      <c r="I217" s="55">
        <v>0</v>
      </c>
      <c r="J217" s="70"/>
      <c r="K217" s="55">
        <v>0</v>
      </c>
      <c r="L217" s="55"/>
      <c r="M217" s="55"/>
      <c r="N217" s="55"/>
      <c r="O217" s="55"/>
      <c r="P217" s="55">
        <f t="shared" si="415"/>
        <v>0</v>
      </c>
      <c r="Q217" s="55"/>
      <c r="R217" s="55"/>
      <c r="S217" s="55"/>
      <c r="T217" s="55">
        <f t="shared" si="416"/>
        <v>0</v>
      </c>
      <c r="U217" s="56">
        <f t="shared" si="417"/>
        <v>0</v>
      </c>
      <c r="V217" s="55">
        <f t="shared" si="418"/>
        <v>0</v>
      </c>
      <c r="W217" s="57"/>
      <c r="X217" s="58"/>
      <c r="Y217" s="24">
        <f t="shared" si="376"/>
        <v>0</v>
      </c>
      <c r="Z217" s="33"/>
      <c r="AA217" s="110">
        <f t="shared" si="419"/>
        <v>0</v>
      </c>
      <c r="AB217" s="110">
        <f t="shared" si="420"/>
        <v>0</v>
      </c>
      <c r="AC217" s="72"/>
      <c r="AD217" s="72"/>
      <c r="AE217" s="72"/>
      <c r="AF217" s="72"/>
      <c r="AG217" s="72"/>
      <c r="AH217" s="33"/>
      <c r="AI217" s="33"/>
      <c r="AJ217" s="33">
        <f t="shared" si="422"/>
        <v>0</v>
      </c>
      <c r="AK217" s="60"/>
      <c r="AL217" s="33"/>
      <c r="AM217" s="27">
        <f t="shared" si="379"/>
        <v>0</v>
      </c>
      <c r="AN217" s="61">
        <f t="shared" si="380"/>
        <v>0</v>
      </c>
      <c r="AO217" s="62">
        <f t="shared" si="381"/>
        <v>0</v>
      </c>
      <c r="AQ217" s="33"/>
      <c r="AR217" s="33"/>
      <c r="AS217" s="33"/>
      <c r="AT217" s="60"/>
      <c r="AU217" s="33"/>
      <c r="AV217" s="33"/>
      <c r="AW217" s="33">
        <f t="shared" si="423"/>
        <v>0</v>
      </c>
      <c r="AX217" s="76">
        <f t="shared" si="424"/>
        <v>0</v>
      </c>
      <c r="AY217" s="76">
        <f t="shared" si="425"/>
        <v>0</v>
      </c>
      <c r="BE217" s="33"/>
      <c r="BF217" s="33"/>
      <c r="BG217" s="78">
        <f t="shared" si="426"/>
        <v>0</v>
      </c>
      <c r="BH217" s="33"/>
      <c r="BI217" s="78">
        <f t="shared" si="428"/>
        <v>0</v>
      </c>
      <c r="BJ217" s="78">
        <f t="shared" si="429"/>
        <v>0</v>
      </c>
      <c r="BK217" s="33"/>
      <c r="BL217" s="79">
        <f t="shared" si="430"/>
        <v>0</v>
      </c>
      <c r="BM217" s="79">
        <f t="shared" si="431"/>
        <v>0</v>
      </c>
      <c r="BN217" s="32"/>
      <c r="BO217" s="32"/>
      <c r="BP217" s="33"/>
      <c r="BQ217" s="31">
        <f t="shared" si="383"/>
        <v>0</v>
      </c>
      <c r="BR217" s="31">
        <f t="shared" si="384"/>
        <v>0</v>
      </c>
      <c r="BS217" s="32"/>
      <c r="BT217" s="32"/>
      <c r="BU217" s="33"/>
      <c r="BV217" s="34">
        <f t="shared" si="385"/>
        <v>0</v>
      </c>
      <c r="BY217" s="82"/>
      <c r="BZ217" s="82"/>
      <c r="CC217" s="37"/>
      <c r="CD217" s="33"/>
    </row>
    <row r="218" spans="1:82" s="77" customFormat="1" ht="18" hidden="1" customHeight="1" x14ac:dyDescent="0.25">
      <c r="A218" s="99" t="s">
        <v>58</v>
      </c>
      <c r="B218" s="100"/>
      <c r="C218" s="101"/>
      <c r="D218" s="93"/>
      <c r="E218" s="98"/>
      <c r="F218" s="121" t="s">
        <v>612</v>
      </c>
      <c r="G218" s="158">
        <v>0</v>
      </c>
      <c r="H218" s="158"/>
      <c r="I218" s="158">
        <v>0</v>
      </c>
      <c r="J218" s="70"/>
      <c r="K218" s="158">
        <v>0</v>
      </c>
      <c r="L218" s="158"/>
      <c r="M218" s="158"/>
      <c r="N218" s="158"/>
      <c r="O218" s="158"/>
      <c r="P218" s="158">
        <f t="shared" si="415"/>
        <v>0</v>
      </c>
      <c r="Q218" s="158"/>
      <c r="R218" s="158"/>
      <c r="S218" s="158"/>
      <c r="T218" s="158">
        <f t="shared" si="416"/>
        <v>0</v>
      </c>
      <c r="U218" s="107">
        <f t="shared" si="417"/>
        <v>0</v>
      </c>
      <c r="V218" s="158">
        <f t="shared" si="418"/>
        <v>0</v>
      </c>
      <c r="W218" s="159"/>
      <c r="X218" s="109"/>
      <c r="Y218" s="24">
        <f t="shared" si="376"/>
        <v>0</v>
      </c>
      <c r="Z218" s="160"/>
      <c r="AA218" s="110">
        <f t="shared" si="419"/>
        <v>0</v>
      </c>
      <c r="AB218" s="110">
        <f t="shared" si="420"/>
        <v>0</v>
      </c>
      <c r="AC218" s="72"/>
      <c r="AD218" s="72"/>
      <c r="AE218" s="72"/>
      <c r="AF218" s="72"/>
      <c r="AG218" s="72"/>
      <c r="AH218" s="160"/>
      <c r="AI218" s="160"/>
      <c r="AJ218" s="160">
        <f t="shared" si="422"/>
        <v>0</v>
      </c>
      <c r="AK218" s="161"/>
      <c r="AL218" s="160"/>
      <c r="AM218" s="27">
        <f t="shared" si="379"/>
        <v>0</v>
      </c>
      <c r="AN218" s="61">
        <f t="shared" si="380"/>
        <v>0</v>
      </c>
      <c r="AO218" s="62">
        <f t="shared" si="381"/>
        <v>0</v>
      </c>
      <c r="AQ218" s="160"/>
      <c r="AR218" s="160"/>
      <c r="AS218" s="160"/>
      <c r="AT218" s="161"/>
      <c r="AU218" s="160"/>
      <c r="AV218" s="160"/>
      <c r="AW218" s="160">
        <f t="shared" si="423"/>
        <v>0</v>
      </c>
      <c r="AX218" s="76">
        <f t="shared" si="424"/>
        <v>0</v>
      </c>
      <c r="AY218" s="76">
        <f t="shared" si="425"/>
        <v>0</v>
      </c>
      <c r="BE218" s="160"/>
      <c r="BF218" s="160"/>
      <c r="BG218" s="78">
        <f t="shared" si="426"/>
        <v>0</v>
      </c>
      <c r="BH218" s="160"/>
      <c r="BI218" s="78">
        <f t="shared" si="428"/>
        <v>0</v>
      </c>
      <c r="BJ218" s="78">
        <f t="shared" si="429"/>
        <v>0</v>
      </c>
      <c r="BK218" s="160"/>
      <c r="BL218" s="79">
        <f t="shared" si="430"/>
        <v>0</v>
      </c>
      <c r="BM218" s="79">
        <f t="shared" si="431"/>
        <v>0</v>
      </c>
      <c r="BN218" s="32"/>
      <c r="BO218" s="32"/>
      <c r="BP218" s="160"/>
      <c r="BQ218" s="31">
        <f t="shared" si="383"/>
        <v>0</v>
      </c>
      <c r="BR218" s="31">
        <f t="shared" si="384"/>
        <v>0</v>
      </c>
      <c r="BS218" s="32"/>
      <c r="BT218" s="32"/>
      <c r="BU218" s="33"/>
      <c r="BV218" s="34">
        <f t="shared" si="385"/>
        <v>0</v>
      </c>
      <c r="BY218" s="82"/>
      <c r="BZ218" s="82"/>
      <c r="CC218" s="37"/>
      <c r="CD218" s="160"/>
    </row>
    <row r="219" spans="1:82" s="77" customFormat="1" ht="18" hidden="1" customHeight="1" x14ac:dyDescent="0.25">
      <c r="A219" s="99" t="s">
        <v>58</v>
      </c>
      <c r="B219" s="100"/>
      <c r="C219" s="101"/>
      <c r="D219" s="93"/>
      <c r="E219" s="98"/>
      <c r="F219" s="121" t="s">
        <v>613</v>
      </c>
      <c r="G219" s="158">
        <v>0</v>
      </c>
      <c r="H219" s="158"/>
      <c r="I219" s="158">
        <v>0</v>
      </c>
      <c r="J219" s="70"/>
      <c r="K219" s="158">
        <v>0</v>
      </c>
      <c r="L219" s="158"/>
      <c r="M219" s="158"/>
      <c r="N219" s="158"/>
      <c r="O219" s="158"/>
      <c r="P219" s="158">
        <f t="shared" si="415"/>
        <v>0</v>
      </c>
      <c r="Q219" s="158"/>
      <c r="R219" s="158"/>
      <c r="S219" s="158"/>
      <c r="T219" s="158">
        <f t="shared" si="416"/>
        <v>0</v>
      </c>
      <c r="U219" s="107">
        <f t="shared" si="417"/>
        <v>0</v>
      </c>
      <c r="V219" s="158">
        <f t="shared" si="418"/>
        <v>0</v>
      </c>
      <c r="W219" s="159"/>
      <c r="X219" s="109"/>
      <c r="Y219" s="24">
        <f t="shared" si="376"/>
        <v>0</v>
      </c>
      <c r="Z219" s="160"/>
      <c r="AA219" s="110">
        <f t="shared" si="419"/>
        <v>0</v>
      </c>
      <c r="AB219" s="110">
        <f t="shared" si="420"/>
        <v>0</v>
      </c>
      <c r="AC219" s="72"/>
      <c r="AD219" s="72"/>
      <c r="AE219" s="72"/>
      <c r="AF219" s="72"/>
      <c r="AG219" s="72"/>
      <c r="AH219" s="160"/>
      <c r="AI219" s="160"/>
      <c r="AJ219" s="160">
        <f t="shared" si="422"/>
        <v>0</v>
      </c>
      <c r="AK219" s="161"/>
      <c r="AL219" s="160"/>
      <c r="AM219" s="27">
        <f t="shared" si="379"/>
        <v>0</v>
      </c>
      <c r="AN219" s="61">
        <f t="shared" si="380"/>
        <v>0</v>
      </c>
      <c r="AO219" s="62">
        <f t="shared" si="381"/>
        <v>0</v>
      </c>
      <c r="AQ219" s="160"/>
      <c r="AR219" s="160"/>
      <c r="AS219" s="160"/>
      <c r="AT219" s="161"/>
      <c r="AU219" s="160"/>
      <c r="AV219" s="160"/>
      <c r="AW219" s="160">
        <f t="shared" si="423"/>
        <v>0</v>
      </c>
      <c r="AX219" s="76">
        <f t="shared" si="424"/>
        <v>0</v>
      </c>
      <c r="AY219" s="76">
        <f t="shared" si="425"/>
        <v>0</v>
      </c>
      <c r="BE219" s="160"/>
      <c r="BF219" s="160"/>
      <c r="BG219" s="78">
        <f t="shared" si="426"/>
        <v>0</v>
      </c>
      <c r="BH219" s="160"/>
      <c r="BI219" s="78">
        <f t="shared" si="428"/>
        <v>0</v>
      </c>
      <c r="BJ219" s="78">
        <f t="shared" si="429"/>
        <v>0</v>
      </c>
      <c r="BK219" s="160"/>
      <c r="BL219" s="79">
        <f t="shared" si="430"/>
        <v>0</v>
      </c>
      <c r="BM219" s="79">
        <f t="shared" si="431"/>
        <v>0</v>
      </c>
      <c r="BN219" s="32"/>
      <c r="BO219" s="32"/>
      <c r="BP219" s="160"/>
      <c r="BQ219" s="31">
        <f t="shared" si="383"/>
        <v>0</v>
      </c>
      <c r="BR219" s="31">
        <f t="shared" si="384"/>
        <v>0</v>
      </c>
      <c r="BS219" s="32"/>
      <c r="BT219" s="32"/>
      <c r="BU219" s="33"/>
      <c r="BV219" s="34">
        <f t="shared" si="385"/>
        <v>0</v>
      </c>
      <c r="BY219" s="82"/>
      <c r="BZ219" s="82"/>
      <c r="CC219" s="37"/>
      <c r="CD219" s="160"/>
    </row>
    <row r="220" spans="1:82" s="77" customFormat="1" ht="18" hidden="1" customHeight="1" x14ac:dyDescent="0.25">
      <c r="A220" s="99" t="s">
        <v>58</v>
      </c>
      <c r="B220" s="100"/>
      <c r="C220" s="101"/>
      <c r="D220" s="93"/>
      <c r="E220" s="98" t="s">
        <v>614</v>
      </c>
      <c r="F220" s="105"/>
      <c r="G220" s="55">
        <v>0</v>
      </c>
      <c r="H220" s="55"/>
      <c r="I220" s="55">
        <v>0</v>
      </c>
      <c r="J220" s="70"/>
      <c r="K220" s="55">
        <v>0</v>
      </c>
      <c r="L220" s="55"/>
      <c r="M220" s="55"/>
      <c r="N220" s="55"/>
      <c r="O220" s="55"/>
      <c r="P220" s="55">
        <f t="shared" si="415"/>
        <v>0</v>
      </c>
      <c r="Q220" s="55"/>
      <c r="R220" s="55"/>
      <c r="S220" s="55"/>
      <c r="T220" s="55">
        <f t="shared" si="416"/>
        <v>0</v>
      </c>
      <c r="U220" s="56">
        <f t="shared" si="417"/>
        <v>0</v>
      </c>
      <c r="V220" s="55">
        <f t="shared" si="418"/>
        <v>0</v>
      </c>
      <c r="W220" s="57"/>
      <c r="X220" s="58"/>
      <c r="Y220" s="24">
        <f t="shared" si="376"/>
        <v>0</v>
      </c>
      <c r="Z220" s="33"/>
      <c r="AA220" s="110">
        <f t="shared" si="419"/>
        <v>0</v>
      </c>
      <c r="AB220" s="110">
        <f t="shared" si="420"/>
        <v>0</v>
      </c>
      <c r="AC220" s="72"/>
      <c r="AD220" s="72"/>
      <c r="AE220" s="72"/>
      <c r="AF220" s="72"/>
      <c r="AG220" s="72"/>
      <c r="AH220" s="33"/>
      <c r="AI220" s="33"/>
      <c r="AJ220" s="33">
        <f t="shared" si="422"/>
        <v>0</v>
      </c>
      <c r="AK220" s="60"/>
      <c r="AL220" s="33"/>
      <c r="AM220" s="27">
        <f t="shared" si="379"/>
        <v>0</v>
      </c>
      <c r="AN220" s="61">
        <f t="shared" si="380"/>
        <v>0</v>
      </c>
      <c r="AO220" s="62">
        <f t="shared" si="381"/>
        <v>0</v>
      </c>
      <c r="AQ220" s="33"/>
      <c r="AR220" s="33"/>
      <c r="AS220" s="33"/>
      <c r="AT220" s="60"/>
      <c r="AU220" s="33"/>
      <c r="AV220" s="33"/>
      <c r="AW220" s="33">
        <f t="shared" si="423"/>
        <v>0</v>
      </c>
      <c r="AX220" s="76">
        <f t="shared" si="424"/>
        <v>0</v>
      </c>
      <c r="AY220" s="76">
        <f t="shared" si="425"/>
        <v>0</v>
      </c>
      <c r="BE220" s="33"/>
      <c r="BF220" s="33"/>
      <c r="BG220" s="78">
        <f t="shared" si="426"/>
        <v>0</v>
      </c>
      <c r="BH220" s="33"/>
      <c r="BI220" s="78">
        <f t="shared" si="428"/>
        <v>0</v>
      </c>
      <c r="BJ220" s="78">
        <f t="shared" si="429"/>
        <v>0</v>
      </c>
      <c r="BK220" s="33"/>
      <c r="BL220" s="79">
        <f t="shared" si="430"/>
        <v>0</v>
      </c>
      <c r="BM220" s="79">
        <f t="shared" si="431"/>
        <v>0</v>
      </c>
      <c r="BN220" s="32"/>
      <c r="BO220" s="32"/>
      <c r="BP220" s="33"/>
      <c r="BQ220" s="31">
        <f t="shared" si="383"/>
        <v>0</v>
      </c>
      <c r="BR220" s="31">
        <f t="shared" si="384"/>
        <v>0</v>
      </c>
      <c r="BS220" s="32"/>
      <c r="BT220" s="32"/>
      <c r="BU220" s="33"/>
      <c r="BV220" s="34">
        <f t="shared" si="385"/>
        <v>0</v>
      </c>
      <c r="BY220" s="82"/>
      <c r="BZ220" s="82"/>
      <c r="CC220" s="37"/>
      <c r="CD220" s="33"/>
    </row>
    <row r="221" spans="1:82" s="77" customFormat="1" ht="18" hidden="1" customHeight="1" x14ac:dyDescent="0.25">
      <c r="A221" s="99" t="s">
        <v>58</v>
      </c>
      <c r="B221" s="100"/>
      <c r="C221" s="101"/>
      <c r="D221" s="93"/>
      <c r="E221" s="98"/>
      <c r="F221" s="121" t="s">
        <v>615</v>
      </c>
      <c r="G221" s="158">
        <v>0</v>
      </c>
      <c r="H221" s="158"/>
      <c r="I221" s="158">
        <v>0</v>
      </c>
      <c r="J221" s="70"/>
      <c r="K221" s="158">
        <v>0</v>
      </c>
      <c r="L221" s="158"/>
      <c r="M221" s="158"/>
      <c r="N221" s="158"/>
      <c r="O221" s="158"/>
      <c r="P221" s="158">
        <f t="shared" si="415"/>
        <v>0</v>
      </c>
      <c r="Q221" s="158"/>
      <c r="R221" s="158"/>
      <c r="S221" s="158"/>
      <c r="T221" s="158">
        <f t="shared" si="416"/>
        <v>0</v>
      </c>
      <c r="U221" s="107">
        <f t="shared" si="417"/>
        <v>0</v>
      </c>
      <c r="V221" s="158">
        <f t="shared" si="418"/>
        <v>0</v>
      </c>
      <c r="W221" s="159"/>
      <c r="X221" s="109"/>
      <c r="Y221" s="24">
        <f t="shared" si="376"/>
        <v>0</v>
      </c>
      <c r="Z221" s="160"/>
      <c r="AA221" s="110">
        <f t="shared" si="419"/>
        <v>0</v>
      </c>
      <c r="AB221" s="110">
        <f t="shared" si="420"/>
        <v>0</v>
      </c>
      <c r="AC221" s="72"/>
      <c r="AD221" s="72"/>
      <c r="AE221" s="72"/>
      <c r="AF221" s="72"/>
      <c r="AG221" s="72"/>
      <c r="AH221" s="160"/>
      <c r="AI221" s="160"/>
      <c r="AJ221" s="160">
        <f t="shared" si="422"/>
        <v>0</v>
      </c>
      <c r="AK221" s="161"/>
      <c r="AL221" s="160"/>
      <c r="AM221" s="27">
        <f t="shared" si="379"/>
        <v>0</v>
      </c>
      <c r="AN221" s="61">
        <f t="shared" si="380"/>
        <v>0</v>
      </c>
      <c r="AO221" s="62">
        <f t="shared" si="381"/>
        <v>0</v>
      </c>
      <c r="AQ221" s="160"/>
      <c r="AR221" s="160"/>
      <c r="AS221" s="160"/>
      <c r="AT221" s="161"/>
      <c r="AU221" s="160"/>
      <c r="AV221" s="160"/>
      <c r="AW221" s="160">
        <f t="shared" si="423"/>
        <v>0</v>
      </c>
      <c r="AX221" s="76">
        <f t="shared" si="424"/>
        <v>0</v>
      </c>
      <c r="AY221" s="76">
        <f t="shared" si="425"/>
        <v>0</v>
      </c>
      <c r="BE221" s="160"/>
      <c r="BF221" s="160"/>
      <c r="BG221" s="78">
        <f t="shared" si="426"/>
        <v>0</v>
      </c>
      <c r="BH221" s="160"/>
      <c r="BI221" s="78">
        <f t="shared" si="428"/>
        <v>0</v>
      </c>
      <c r="BJ221" s="78">
        <f t="shared" si="429"/>
        <v>0</v>
      </c>
      <c r="BK221" s="160"/>
      <c r="BL221" s="79">
        <f t="shared" si="430"/>
        <v>0</v>
      </c>
      <c r="BM221" s="79">
        <f t="shared" si="431"/>
        <v>0</v>
      </c>
      <c r="BN221" s="32"/>
      <c r="BO221" s="32"/>
      <c r="BP221" s="160"/>
      <c r="BQ221" s="31">
        <f t="shared" si="383"/>
        <v>0</v>
      </c>
      <c r="BR221" s="31">
        <f t="shared" si="384"/>
        <v>0</v>
      </c>
      <c r="BS221" s="32"/>
      <c r="BT221" s="32"/>
      <c r="BU221" s="33"/>
      <c r="BV221" s="34">
        <f t="shared" si="385"/>
        <v>0</v>
      </c>
      <c r="BY221" s="82"/>
      <c r="BZ221" s="82"/>
      <c r="CC221" s="37"/>
      <c r="CD221" s="160"/>
    </row>
    <row r="222" spans="1:82" s="35" customFormat="1" ht="18" customHeight="1" x14ac:dyDescent="0.25">
      <c r="A222" s="38" t="s">
        <v>58</v>
      </c>
      <c r="B222" s="39"/>
      <c r="C222" s="119" t="s">
        <v>616</v>
      </c>
      <c r="D222" s="119"/>
      <c r="E222" s="122"/>
      <c r="F222" s="40"/>
      <c r="G222" s="20">
        <v>8814800</v>
      </c>
      <c r="H222" s="20">
        <v>8301200</v>
      </c>
      <c r="I222" s="20">
        <f t="shared" ref="I222:Q222" si="432">I223+I226+I234+I237</f>
        <v>8372700</v>
      </c>
      <c r="J222" s="20" t="e">
        <f t="shared" si="432"/>
        <v>#VALUE!</v>
      </c>
      <c r="K222" s="20">
        <f t="shared" si="432"/>
        <v>8347606.96</v>
      </c>
      <c r="L222" s="20">
        <f t="shared" si="432"/>
        <v>3590174.7299999995</v>
      </c>
      <c r="M222" s="20" t="e">
        <f t="shared" si="432"/>
        <v>#REF!</v>
      </c>
      <c r="N222" s="20">
        <f t="shared" si="432"/>
        <v>8003937.3416666668</v>
      </c>
      <c r="O222" s="20">
        <f t="shared" si="432"/>
        <v>8136754.8399999999</v>
      </c>
      <c r="P222" s="20">
        <f t="shared" si="432"/>
        <v>5738830.3400000008</v>
      </c>
      <c r="Q222" s="20">
        <f t="shared" si="432"/>
        <v>5676335.580000001</v>
      </c>
      <c r="R222" s="20"/>
      <c r="S222" s="20">
        <f>S223+S226+S234+S237</f>
        <v>8783177.2699999996</v>
      </c>
      <c r="T222" s="20">
        <f t="shared" si="416"/>
        <v>410477.26999999955</v>
      </c>
      <c r="U222" s="21">
        <f t="shared" si="417"/>
        <v>435570.30999999959</v>
      </c>
      <c r="V222" s="20">
        <f t="shared" si="418"/>
        <v>646422.4299999997</v>
      </c>
      <c r="W222" s="22"/>
      <c r="X222" s="23">
        <f>X223+X226+X234+X237</f>
        <v>8954801.3599999994</v>
      </c>
      <c r="Y222" s="24">
        <f t="shared" si="376"/>
        <v>171624.08999999985</v>
      </c>
      <c r="Z222" s="25">
        <f t="shared" ref="Z222:AL222" si="433">Z223+Z226+Z234+Z237</f>
        <v>9026497</v>
      </c>
      <c r="AA222" s="25">
        <f t="shared" si="433"/>
        <v>653797</v>
      </c>
      <c r="AB222" s="25">
        <f t="shared" si="433"/>
        <v>226319.73000000033</v>
      </c>
      <c r="AC222" s="25" t="e">
        <f t="shared" si="433"/>
        <v>#VALUE!</v>
      </c>
      <c r="AD222" s="25">
        <f t="shared" si="433"/>
        <v>720512.89000000036</v>
      </c>
      <c r="AE222" s="25">
        <f t="shared" si="433"/>
        <v>124153</v>
      </c>
      <c r="AF222" s="25">
        <f t="shared" si="433"/>
        <v>0</v>
      </c>
      <c r="AG222" s="25">
        <f t="shared" si="433"/>
        <v>0</v>
      </c>
      <c r="AH222" s="25">
        <f t="shared" si="433"/>
        <v>8844921.5634399652</v>
      </c>
      <c r="AI222" s="25">
        <f t="shared" si="433"/>
        <v>8832114.2799999993</v>
      </c>
      <c r="AJ222" s="25">
        <f t="shared" si="433"/>
        <v>-181575.43656003638</v>
      </c>
      <c r="AK222" s="26">
        <f t="shared" si="433"/>
        <v>9017402.3900000006</v>
      </c>
      <c r="AL222" s="25">
        <f t="shared" si="433"/>
        <v>9008926.6699999999</v>
      </c>
      <c r="AM222" s="27">
        <f t="shared" si="379"/>
        <v>176812.3900000006</v>
      </c>
      <c r="AN222" s="28">
        <f t="shared" si="380"/>
        <v>-17570.330000000075</v>
      </c>
      <c r="AO222" s="50">
        <f t="shared" si="381"/>
        <v>-194382.72000000067</v>
      </c>
      <c r="AQ222" s="25"/>
      <c r="AR222" s="25"/>
      <c r="AS222" s="25"/>
      <c r="AT222" s="26">
        <f t="shared" ref="AT222:BP222" si="434">AT223+AT226+AT234+AT237</f>
        <v>9267277.2400000002</v>
      </c>
      <c r="AU222" s="25">
        <f t="shared" si="434"/>
        <v>9105856.8199999984</v>
      </c>
      <c r="AV222" s="25">
        <f t="shared" si="434"/>
        <v>9464900</v>
      </c>
      <c r="AW222" s="25">
        <f t="shared" si="434"/>
        <v>438403</v>
      </c>
      <c r="AX222" s="25">
        <f t="shared" si="434"/>
        <v>240780.24000000008</v>
      </c>
      <c r="AY222" s="25">
        <f t="shared" si="434"/>
        <v>258350.56999999986</v>
      </c>
      <c r="AZ222" s="25">
        <f t="shared" si="434"/>
        <v>211.52</v>
      </c>
      <c r="BA222" s="25">
        <f t="shared" si="434"/>
        <v>2859.38</v>
      </c>
      <c r="BB222" s="25">
        <f t="shared" si="434"/>
        <v>11.059999999999974</v>
      </c>
      <c r="BC222" s="25">
        <f t="shared" si="434"/>
        <v>409219.99999999901</v>
      </c>
      <c r="BD222" s="25">
        <f t="shared" si="434"/>
        <v>8843422.6642397866</v>
      </c>
      <c r="BE222" s="25">
        <f t="shared" si="434"/>
        <v>9454144.7200000007</v>
      </c>
      <c r="BF222" s="25">
        <f t="shared" si="434"/>
        <v>9618192.6786020007</v>
      </c>
      <c r="BG222" s="25">
        <f t="shared" si="434"/>
        <v>-10755.280000000028</v>
      </c>
      <c r="BH222" s="25">
        <f t="shared" si="434"/>
        <v>9618192.6786020007</v>
      </c>
      <c r="BI222" s="25">
        <f t="shared" si="434"/>
        <v>153292.67860200015</v>
      </c>
      <c r="BJ222" s="25">
        <f t="shared" si="434"/>
        <v>512335.8586019997</v>
      </c>
      <c r="BK222" s="25">
        <f t="shared" si="434"/>
        <v>10836829.829999998</v>
      </c>
      <c r="BL222" s="25">
        <f t="shared" si="434"/>
        <v>1218637.1513979994</v>
      </c>
      <c r="BM222" s="25">
        <f t="shared" si="434"/>
        <v>1371929.8299999996</v>
      </c>
      <c r="BN222" s="25" t="e">
        <f t="shared" si="434"/>
        <v>#VALUE!</v>
      </c>
      <c r="BO222" s="25" t="e">
        <f t="shared" si="434"/>
        <v>#VALUE!</v>
      </c>
      <c r="BP222" s="25">
        <f t="shared" si="434"/>
        <v>10481057.439999999</v>
      </c>
      <c r="BQ222" s="31">
        <f t="shared" si="383"/>
        <v>-355772.38999999873</v>
      </c>
      <c r="BR222" s="31">
        <f t="shared" si="384"/>
        <v>1016157.4399999995</v>
      </c>
      <c r="BS222" s="32"/>
      <c r="BT222" s="87" t="s">
        <v>617</v>
      </c>
      <c r="BU222" s="162" t="s">
        <v>618</v>
      </c>
      <c r="BV222" s="34">
        <f t="shared" si="385"/>
        <v>153292.6786020007</v>
      </c>
      <c r="BW222" s="37">
        <v>9301791.7799999993</v>
      </c>
      <c r="BY222" s="36"/>
      <c r="BZ222" s="36"/>
      <c r="CC222" s="37"/>
      <c r="CD222" s="25">
        <f>CD223+CD226+CD234+CD237</f>
        <v>9105856.8199999984</v>
      </c>
    </row>
    <row r="223" spans="1:82" s="35" customFormat="1" ht="18" customHeight="1" x14ac:dyDescent="0.25">
      <c r="A223" s="38" t="s">
        <v>58</v>
      </c>
      <c r="B223" s="39"/>
      <c r="C223" s="93"/>
      <c r="D223" s="93" t="s">
        <v>619</v>
      </c>
      <c r="E223" s="103"/>
      <c r="F223" s="104"/>
      <c r="G223" s="46">
        <v>6505200</v>
      </c>
      <c r="H223" s="46">
        <v>6137500</v>
      </c>
      <c r="I223" s="46">
        <f t="shared" ref="I223:Q224" si="435">I224</f>
        <v>6162000</v>
      </c>
      <c r="J223" s="46" t="str">
        <f t="shared" si="435"/>
        <v xml:space="preserve">                         Stipendi personale</v>
      </c>
      <c r="K223" s="46">
        <f t="shared" si="435"/>
        <v>6118454.3799999999</v>
      </c>
      <c r="L223" s="46">
        <f t="shared" si="435"/>
        <v>2741742.55</v>
      </c>
      <c r="M223" s="46" t="e">
        <f t="shared" si="435"/>
        <v>#REF!</v>
      </c>
      <c r="N223" s="46">
        <f t="shared" si="435"/>
        <v>5940442.1916666664</v>
      </c>
      <c r="O223" s="46">
        <f t="shared" si="435"/>
        <v>5886034.1900000004</v>
      </c>
      <c r="P223" s="46">
        <f t="shared" si="435"/>
        <v>5886035.1900000004</v>
      </c>
      <c r="Q223" s="46">
        <f t="shared" si="435"/>
        <v>4353532.4000000004</v>
      </c>
      <c r="R223" s="46"/>
      <c r="S223" s="46">
        <f>S224</f>
        <v>6383308.0599999996</v>
      </c>
      <c r="T223" s="46">
        <f t="shared" si="416"/>
        <v>221308.05999999959</v>
      </c>
      <c r="U223" s="21">
        <f t="shared" si="417"/>
        <v>264853.6799999997</v>
      </c>
      <c r="V223" s="46">
        <f t="shared" si="418"/>
        <v>497273.86999999918</v>
      </c>
      <c r="W223" s="47"/>
      <c r="X223" s="23">
        <f>X224</f>
        <v>6407195.96</v>
      </c>
      <c r="Y223" s="24">
        <f t="shared" si="376"/>
        <v>23887.900000000373</v>
      </c>
      <c r="Z223" s="48">
        <f t="shared" ref="Z223:AL224" si="436">Z224</f>
        <v>6547485</v>
      </c>
      <c r="AA223" s="48">
        <f t="shared" si="436"/>
        <v>385485</v>
      </c>
      <c r="AB223" s="48">
        <f t="shared" si="436"/>
        <v>164176.94000000041</v>
      </c>
      <c r="AC223" s="48" t="str">
        <f t="shared" si="436"/>
        <v>di cui € 50.000 rateo ferie</v>
      </c>
      <c r="AD223" s="48">
        <f t="shared" si="436"/>
        <v>164176.94000000041</v>
      </c>
      <c r="AE223" s="48">
        <f t="shared" si="436"/>
        <v>0</v>
      </c>
      <c r="AF223" s="48">
        <f t="shared" si="436"/>
        <v>0</v>
      </c>
      <c r="AG223" s="48">
        <f t="shared" si="436"/>
        <v>0</v>
      </c>
      <c r="AH223" s="48">
        <f t="shared" si="436"/>
        <v>6559213.7000914812</v>
      </c>
      <c r="AI223" s="48">
        <f t="shared" si="436"/>
        <v>6516870</v>
      </c>
      <c r="AJ223" s="48">
        <f t="shared" si="436"/>
        <v>11728.700091481209</v>
      </c>
      <c r="AK223" s="49">
        <f t="shared" si="436"/>
        <v>6653062.7300000004</v>
      </c>
      <c r="AL223" s="48">
        <f t="shared" si="436"/>
        <v>6615391.3200000003</v>
      </c>
      <c r="AM223" s="27">
        <f t="shared" si="379"/>
        <v>98521.320000000298</v>
      </c>
      <c r="AN223" s="28">
        <f t="shared" si="380"/>
        <v>67906.320000000298</v>
      </c>
      <c r="AO223" s="50">
        <f t="shared" si="381"/>
        <v>-30615</v>
      </c>
      <c r="AQ223" s="48"/>
      <c r="AR223" s="48"/>
      <c r="AS223" s="48"/>
      <c r="AT223" s="49">
        <f t="shared" ref="AT223:BI224" si="437">AT224</f>
        <v>6859104.21</v>
      </c>
      <c r="AU223" s="48">
        <f t="shared" si="437"/>
        <v>6640270.6900000004</v>
      </c>
      <c r="AV223" s="48">
        <f t="shared" si="437"/>
        <v>7002900</v>
      </c>
      <c r="AW223" s="48">
        <f t="shared" si="437"/>
        <v>455415</v>
      </c>
      <c r="AX223" s="48">
        <f t="shared" si="437"/>
        <v>311619.20999999996</v>
      </c>
      <c r="AY223" s="48">
        <f t="shared" si="437"/>
        <v>243712.88999999966</v>
      </c>
      <c r="AZ223" s="48">
        <f t="shared" si="437"/>
        <v>211.52</v>
      </c>
      <c r="BA223" s="48">
        <f t="shared" si="437"/>
        <v>222.57999999999998</v>
      </c>
      <c r="BB223" s="48">
        <f t="shared" si="437"/>
        <v>11.059999999999974</v>
      </c>
      <c r="BC223" s="48">
        <f t="shared" si="437"/>
        <v>409219.99999999901</v>
      </c>
      <c r="BD223" s="48">
        <f t="shared" si="437"/>
        <v>6889841.2031959146</v>
      </c>
      <c r="BE223" s="48">
        <f t="shared" si="437"/>
        <v>7002900</v>
      </c>
      <c r="BF223" s="48">
        <f t="shared" si="437"/>
        <v>7067754.2800000003</v>
      </c>
      <c r="BG223" s="48">
        <f t="shared" si="437"/>
        <v>0</v>
      </c>
      <c r="BH223" s="48">
        <f t="shared" si="437"/>
        <v>7067754.2800000003</v>
      </c>
      <c r="BI223" s="48">
        <f t="shared" si="437"/>
        <v>64854.280000000261</v>
      </c>
      <c r="BJ223" s="48">
        <f t="shared" ref="BJ223:BV224" si="438">BJ224</f>
        <v>427483.58999999985</v>
      </c>
      <c r="BK223" s="48">
        <f t="shared" si="438"/>
        <v>7873355.7599999998</v>
      </c>
      <c r="BL223" s="48">
        <f t="shared" si="438"/>
        <v>805601.47999999952</v>
      </c>
      <c r="BM223" s="48">
        <f t="shared" si="438"/>
        <v>870455.75999999978</v>
      </c>
      <c r="BN223" s="48" t="str">
        <f t="shared" si="438"/>
        <v>vedi conteggio altro file</v>
      </c>
      <c r="BO223" s="48" t="str">
        <f t="shared" si="438"/>
        <v>vedi conteggio altro file</v>
      </c>
      <c r="BP223" s="48">
        <f t="shared" si="438"/>
        <v>7693292.2300000004</v>
      </c>
      <c r="BQ223" s="31">
        <f t="shared" si="383"/>
        <v>-180063.52999999933</v>
      </c>
      <c r="BR223" s="31">
        <f t="shared" si="384"/>
        <v>690392.23000000045</v>
      </c>
      <c r="BS223" s="32"/>
      <c r="BT223" s="32"/>
      <c r="BU223" s="162" t="s">
        <v>620</v>
      </c>
      <c r="BV223" s="34">
        <f t="shared" si="385"/>
        <v>64854.280000000261</v>
      </c>
      <c r="BW223" s="29">
        <f>AV223+AV226+AV245+AV242+AV295</f>
        <v>9304700</v>
      </c>
      <c r="BY223" s="36"/>
      <c r="BZ223" s="36"/>
      <c r="CC223" s="37"/>
      <c r="CD223" s="48">
        <f>CD224</f>
        <v>6640270.6900000004</v>
      </c>
    </row>
    <row r="224" spans="1:82" s="63" customFormat="1" ht="18" customHeight="1" x14ac:dyDescent="0.25">
      <c r="A224" s="96" t="s">
        <v>58</v>
      </c>
      <c r="B224" s="97"/>
      <c r="C224" s="98"/>
      <c r="D224" s="103"/>
      <c r="E224" s="98" t="s">
        <v>621</v>
      </c>
      <c r="F224" s="105"/>
      <c r="G224" s="55">
        <v>6505200</v>
      </c>
      <c r="H224" s="55">
        <v>6137500</v>
      </c>
      <c r="I224" s="55">
        <f t="shared" si="435"/>
        <v>6162000</v>
      </c>
      <c r="J224" s="55" t="str">
        <f t="shared" si="435"/>
        <v xml:space="preserve">                         Stipendi personale</v>
      </c>
      <c r="K224" s="55">
        <f t="shared" si="435"/>
        <v>6118454.3799999999</v>
      </c>
      <c r="L224" s="55">
        <f t="shared" si="435"/>
        <v>2741742.55</v>
      </c>
      <c r="M224" s="55" t="e">
        <f t="shared" si="435"/>
        <v>#REF!</v>
      </c>
      <c r="N224" s="55">
        <f t="shared" si="435"/>
        <v>5940442.1916666664</v>
      </c>
      <c r="O224" s="55">
        <f t="shared" si="435"/>
        <v>5886034.1900000004</v>
      </c>
      <c r="P224" s="55">
        <f t="shared" si="435"/>
        <v>5886035.1900000004</v>
      </c>
      <c r="Q224" s="55">
        <f t="shared" si="435"/>
        <v>4353532.4000000004</v>
      </c>
      <c r="R224" s="55"/>
      <c r="S224" s="55">
        <f>S225</f>
        <v>6383308.0599999996</v>
      </c>
      <c r="T224" s="55">
        <f t="shared" si="416"/>
        <v>221308.05999999959</v>
      </c>
      <c r="U224" s="56">
        <f t="shared" si="417"/>
        <v>264853.6799999997</v>
      </c>
      <c r="V224" s="55">
        <f t="shared" si="418"/>
        <v>497273.86999999918</v>
      </c>
      <c r="W224" s="57"/>
      <c r="X224" s="58">
        <f>X225</f>
        <v>6407195.96</v>
      </c>
      <c r="Y224" s="59">
        <f t="shared" si="376"/>
        <v>23887.900000000373</v>
      </c>
      <c r="Z224" s="33">
        <f t="shared" si="436"/>
        <v>6547485</v>
      </c>
      <c r="AA224" s="33">
        <f t="shared" si="436"/>
        <v>385485</v>
      </c>
      <c r="AB224" s="33">
        <f t="shared" si="436"/>
        <v>164176.94000000041</v>
      </c>
      <c r="AC224" s="33" t="str">
        <f t="shared" si="436"/>
        <v>di cui € 50.000 rateo ferie</v>
      </c>
      <c r="AD224" s="33">
        <f t="shared" si="436"/>
        <v>164176.94000000041</v>
      </c>
      <c r="AE224" s="33">
        <f t="shared" si="436"/>
        <v>0</v>
      </c>
      <c r="AF224" s="33">
        <f t="shared" si="436"/>
        <v>0</v>
      </c>
      <c r="AG224" s="33">
        <f t="shared" si="436"/>
        <v>0</v>
      </c>
      <c r="AH224" s="33">
        <f t="shared" si="436"/>
        <v>6559213.7000914812</v>
      </c>
      <c r="AI224" s="33">
        <f t="shared" si="436"/>
        <v>6516870</v>
      </c>
      <c r="AJ224" s="33">
        <f t="shared" si="436"/>
        <v>11728.700091481209</v>
      </c>
      <c r="AK224" s="60">
        <f t="shared" si="436"/>
        <v>6653062.7300000004</v>
      </c>
      <c r="AL224" s="33">
        <f t="shared" si="436"/>
        <v>6615391.3200000003</v>
      </c>
      <c r="AM224" s="27">
        <f t="shared" si="379"/>
        <v>98521.320000000298</v>
      </c>
      <c r="AN224" s="61">
        <f t="shared" si="380"/>
        <v>67906.320000000298</v>
      </c>
      <c r="AO224" s="62">
        <f t="shared" si="381"/>
        <v>-30615</v>
      </c>
      <c r="AQ224" s="33"/>
      <c r="AR224" s="33"/>
      <c r="AS224" s="33"/>
      <c r="AT224" s="60">
        <f t="shared" si="437"/>
        <v>6859104.21</v>
      </c>
      <c r="AU224" s="33">
        <f t="shared" si="437"/>
        <v>6640270.6900000004</v>
      </c>
      <c r="AV224" s="33">
        <f t="shared" si="437"/>
        <v>7002900</v>
      </c>
      <c r="AW224" s="33">
        <f t="shared" si="437"/>
        <v>455415</v>
      </c>
      <c r="AX224" s="33">
        <f t="shared" si="437"/>
        <v>311619.20999999996</v>
      </c>
      <c r="AY224" s="33">
        <f t="shared" si="437"/>
        <v>243712.88999999966</v>
      </c>
      <c r="AZ224" s="33">
        <f t="shared" si="437"/>
        <v>211.52</v>
      </c>
      <c r="BA224" s="33">
        <f t="shared" si="437"/>
        <v>222.57999999999998</v>
      </c>
      <c r="BB224" s="33">
        <f t="shared" si="437"/>
        <v>11.059999999999974</v>
      </c>
      <c r="BC224" s="33">
        <f t="shared" si="437"/>
        <v>409219.99999999901</v>
      </c>
      <c r="BD224" s="33">
        <f t="shared" si="437"/>
        <v>6889841.2031959146</v>
      </c>
      <c r="BE224" s="33">
        <f t="shared" si="437"/>
        <v>7002900</v>
      </c>
      <c r="BF224" s="33">
        <f t="shared" si="437"/>
        <v>7067754.2800000003</v>
      </c>
      <c r="BG224" s="33">
        <f t="shared" si="437"/>
        <v>0</v>
      </c>
      <c r="BH224" s="33">
        <f t="shared" si="437"/>
        <v>7067754.2800000003</v>
      </c>
      <c r="BI224" s="33">
        <f t="shared" si="437"/>
        <v>64854.280000000261</v>
      </c>
      <c r="BJ224" s="33">
        <f t="shared" si="438"/>
        <v>427483.58999999985</v>
      </c>
      <c r="BK224" s="33">
        <f t="shared" si="438"/>
        <v>7873355.7599999998</v>
      </c>
      <c r="BL224" s="33">
        <f t="shared" si="438"/>
        <v>805601.47999999952</v>
      </c>
      <c r="BM224" s="33">
        <f t="shared" si="438"/>
        <v>870455.75999999978</v>
      </c>
      <c r="BN224" s="33" t="str">
        <f t="shared" si="438"/>
        <v>vedi conteggio altro file</v>
      </c>
      <c r="BO224" s="33" t="str">
        <f t="shared" si="438"/>
        <v>vedi conteggio altro file</v>
      </c>
      <c r="BP224" s="33">
        <f t="shared" si="438"/>
        <v>7693292.2300000004</v>
      </c>
      <c r="BQ224" s="32">
        <f t="shared" si="383"/>
        <v>-180063.52999999933</v>
      </c>
      <c r="BR224" s="32">
        <f t="shared" si="384"/>
        <v>690392.23000000045</v>
      </c>
      <c r="BS224" s="32"/>
      <c r="BT224" s="32"/>
      <c r="BU224" s="33"/>
      <c r="BV224" s="34">
        <f t="shared" si="385"/>
        <v>64854.280000000261</v>
      </c>
      <c r="BW224" s="37">
        <f>BW222-BW223</f>
        <v>-2908.2200000006706</v>
      </c>
      <c r="BY224" s="64"/>
      <c r="BZ224" s="64"/>
      <c r="CC224" s="37"/>
      <c r="CD224" s="33">
        <f>CD225</f>
        <v>6640270.6900000004</v>
      </c>
    </row>
    <row r="225" spans="1:82" s="77" customFormat="1" ht="18" customHeight="1" x14ac:dyDescent="0.25">
      <c r="A225" s="99" t="s">
        <v>58</v>
      </c>
      <c r="B225" s="100"/>
      <c r="C225" s="101"/>
      <c r="D225" s="93"/>
      <c r="E225" s="98"/>
      <c r="F225" s="121" t="s">
        <v>621</v>
      </c>
      <c r="G225" s="83">
        <v>6505200</v>
      </c>
      <c r="H225" s="83">
        <v>6137500</v>
      </c>
      <c r="I225" s="83">
        <v>6162000</v>
      </c>
      <c r="J225" s="70" t="s">
        <v>622</v>
      </c>
      <c r="K225" s="83">
        <v>6118454.3799999999</v>
      </c>
      <c r="L225" s="83">
        <v>2741742.55</v>
      </c>
      <c r="M225" s="83" t="e">
        <f>#REF!</f>
        <v>#REF!</v>
      </c>
      <c r="N225" s="83">
        <f>L225/6*13</f>
        <v>5940442.1916666664</v>
      </c>
      <c r="O225" s="83">
        <v>5886034.1900000004</v>
      </c>
      <c r="P225" s="83">
        <v>5886035.1900000004</v>
      </c>
      <c r="Q225" s="83">
        <v>4353532.4000000004</v>
      </c>
      <c r="R225" s="83">
        <f>(487983.89*4)+Q225+64000</f>
        <v>6369467.9600000009</v>
      </c>
      <c r="S225" s="83">
        <f>Q225+499950.1+1361010.79+104397.77+64417</f>
        <v>6383308.0599999996</v>
      </c>
      <c r="T225" s="83">
        <f t="shared" si="416"/>
        <v>221308.05999999959</v>
      </c>
      <c r="U225" s="83">
        <f t="shared" si="417"/>
        <v>264853.6799999997</v>
      </c>
      <c r="V225" s="83">
        <f t="shared" si="418"/>
        <v>497273.86999999918</v>
      </c>
      <c r="W225" s="84" t="s">
        <v>623</v>
      </c>
      <c r="X225" s="83">
        <f>4834276.42+497015.11+897766.43+107705.41+70432.59</f>
        <v>6407195.96</v>
      </c>
      <c r="Y225" s="47">
        <f t="shared" si="376"/>
        <v>23887.900000000373</v>
      </c>
      <c r="Z225" s="85">
        <v>6547485</v>
      </c>
      <c r="AA225" s="29">
        <f>Z225-I225</f>
        <v>385485</v>
      </c>
      <c r="AB225" s="29">
        <f>Z225-S225</f>
        <v>164176.94000000041</v>
      </c>
      <c r="AC225" s="72" t="s">
        <v>624</v>
      </c>
      <c r="AD225" s="72">
        <f>Z225-S225</f>
        <v>164176.94000000041</v>
      </c>
      <c r="AE225" s="72"/>
      <c r="AF225" s="72"/>
      <c r="AG225" s="72"/>
      <c r="AH225" s="85">
        <f>[3]Stipendi!$B$15</f>
        <v>6559213.7000914812</v>
      </c>
      <c r="AI225" s="85">
        <v>6516870</v>
      </c>
      <c r="AJ225" s="85">
        <f>AH225-Z225</f>
        <v>11728.700091481209</v>
      </c>
      <c r="AK225" s="86">
        <v>6653062.7300000004</v>
      </c>
      <c r="AL225" s="85">
        <v>6615391.3200000003</v>
      </c>
      <c r="AM225" s="74">
        <f t="shared" si="379"/>
        <v>98521.320000000298</v>
      </c>
      <c r="AN225" s="33">
        <f t="shared" si="380"/>
        <v>67906.320000000298</v>
      </c>
      <c r="AO225" s="75">
        <f t="shared" si="381"/>
        <v>-30615</v>
      </c>
      <c r="AP225" s="72">
        <f>AJ225</f>
        <v>11728.700091481209</v>
      </c>
      <c r="AQ225" s="85" t="s">
        <v>625</v>
      </c>
      <c r="AR225" s="85" t="s">
        <v>626</v>
      </c>
      <c r="AS225" s="85" t="s">
        <v>625</v>
      </c>
      <c r="AT225" s="86">
        <f>7102345.29-AT242-AT295</f>
        <v>6859104.21</v>
      </c>
      <c r="AU225" s="71">
        <v>6640270.6900000004</v>
      </c>
      <c r="AV225" s="71">
        <v>7002900</v>
      </c>
      <c r="AW225" s="71">
        <f>AV225-Z225</f>
        <v>455415</v>
      </c>
      <c r="AX225" s="76">
        <f>AT225-Z225</f>
        <v>311619.20999999996</v>
      </c>
      <c r="AY225" s="76">
        <f>AT225-AL225</f>
        <v>243712.88999999966</v>
      </c>
      <c r="AZ225" s="77">
        <f>'[5]budget 2024'!$Q$41</f>
        <v>211.52</v>
      </c>
      <c r="BA225" s="163">
        <f>'[5]budget 2024'!$AC$41</f>
        <v>222.57999999999998</v>
      </c>
      <c r="BB225" s="163">
        <f>BA225-AZ225</f>
        <v>11.059999999999974</v>
      </c>
      <c r="BC225" s="72">
        <f>BB225*37000</f>
        <v>409219.99999999901</v>
      </c>
      <c r="BD225" s="72">
        <f>Z225/AZ225*BA225</f>
        <v>6889841.2031959146</v>
      </c>
      <c r="BE225" s="71">
        <v>7002900</v>
      </c>
      <c r="BF225" s="71">
        <v>7067754.2800000003</v>
      </c>
      <c r="BG225" s="78">
        <f>BE225-AV225</f>
        <v>0</v>
      </c>
      <c r="BH225" s="71">
        <f>BF225</f>
        <v>7067754.2800000003</v>
      </c>
      <c r="BI225" s="33">
        <f>BF225-AV225</f>
        <v>64854.280000000261</v>
      </c>
      <c r="BJ225" s="33">
        <f>BF225-AU225</f>
        <v>427483.58999999985</v>
      </c>
      <c r="BK225" s="71">
        <v>7873355.7599999998</v>
      </c>
      <c r="BL225" s="79">
        <f>BK225-BH225</f>
        <v>805601.47999999952</v>
      </c>
      <c r="BM225" s="79">
        <f>BK225-AV225</f>
        <v>870455.75999999978</v>
      </c>
      <c r="BN225" s="87" t="s">
        <v>627</v>
      </c>
      <c r="BO225" s="87" t="s">
        <v>627</v>
      </c>
      <c r="BP225" s="71">
        <v>7693292.2300000004</v>
      </c>
      <c r="BQ225" s="32">
        <f t="shared" si="383"/>
        <v>-180063.52999999933</v>
      </c>
      <c r="BR225" s="32">
        <f t="shared" si="384"/>
        <v>690392.23000000045</v>
      </c>
      <c r="BS225" s="87" t="s">
        <v>627</v>
      </c>
      <c r="BT225" s="87" t="s">
        <v>627</v>
      </c>
      <c r="BU225" s="33"/>
      <c r="BV225" s="34">
        <f t="shared" si="385"/>
        <v>64854.280000000261</v>
      </c>
      <c r="BY225" s="82"/>
      <c r="BZ225" s="82"/>
      <c r="CC225" s="37"/>
      <c r="CD225" s="71">
        <v>6640270.6900000004</v>
      </c>
    </row>
    <row r="226" spans="1:82" s="35" customFormat="1" ht="18" customHeight="1" x14ac:dyDescent="0.25">
      <c r="A226" s="38" t="s">
        <v>58</v>
      </c>
      <c r="B226" s="39"/>
      <c r="C226" s="93"/>
      <c r="D226" s="93" t="s">
        <v>628</v>
      </c>
      <c r="E226" s="103"/>
      <c r="F226" s="104"/>
      <c r="G226" s="46">
        <v>1843600</v>
      </c>
      <c r="H226" s="46">
        <v>1724800</v>
      </c>
      <c r="I226" s="46">
        <f t="shared" ref="I226:Q227" si="439">I227</f>
        <v>1746000</v>
      </c>
      <c r="J226" s="46" t="str">
        <f t="shared" si="439"/>
        <v xml:space="preserve">                         Oneri sociali</v>
      </c>
      <c r="K226" s="46">
        <f t="shared" si="439"/>
        <v>1727428.08</v>
      </c>
      <c r="L226" s="46">
        <f t="shared" si="439"/>
        <v>735915.3</v>
      </c>
      <c r="M226" s="46" t="e">
        <f t="shared" si="439"/>
        <v>#REF!</v>
      </c>
      <c r="N226" s="46">
        <f t="shared" si="439"/>
        <v>1594483.1500000001</v>
      </c>
      <c r="O226" s="46">
        <f t="shared" si="439"/>
        <v>1640831.4</v>
      </c>
      <c r="P226" s="46">
        <f t="shared" si="439"/>
        <v>-151516.84999999986</v>
      </c>
      <c r="Q226" s="46">
        <f t="shared" si="439"/>
        <v>1169318.1599999999</v>
      </c>
      <c r="R226" s="46"/>
      <c r="S226" s="46">
        <f>S227</f>
        <v>1820101.56</v>
      </c>
      <c r="T226" s="46">
        <f t="shared" si="416"/>
        <v>74101.560000000056</v>
      </c>
      <c r="U226" s="46">
        <f t="shared" si="417"/>
        <v>92673.479999999981</v>
      </c>
      <c r="V226" s="46">
        <f t="shared" si="418"/>
        <v>179270.16000000015</v>
      </c>
      <c r="W226" s="47"/>
      <c r="X226" s="46">
        <f>X227</f>
        <v>1806690.3299999998</v>
      </c>
      <c r="Y226" s="47">
        <f t="shared" si="376"/>
        <v>-13411.230000000214</v>
      </c>
      <c r="Z226" s="48">
        <f t="shared" ref="Z226:AL227" si="440">Z227</f>
        <v>1856508</v>
      </c>
      <c r="AA226" s="48">
        <f t="shared" si="440"/>
        <v>110508</v>
      </c>
      <c r="AB226" s="48">
        <f t="shared" si="440"/>
        <v>36406.439999999944</v>
      </c>
      <c r="AC226" s="48">
        <f t="shared" si="440"/>
        <v>110508</v>
      </c>
      <c r="AD226" s="48">
        <f t="shared" si="440"/>
        <v>36406.439999999944</v>
      </c>
      <c r="AE226" s="48">
        <f t="shared" si="440"/>
        <v>0</v>
      </c>
      <c r="AF226" s="48">
        <f t="shared" si="440"/>
        <v>0</v>
      </c>
      <c r="AG226" s="48">
        <f t="shared" si="440"/>
        <v>0</v>
      </c>
      <c r="AH226" s="48">
        <f t="shared" si="440"/>
        <v>1795816.0858958317</v>
      </c>
      <c r="AI226" s="48">
        <f t="shared" si="440"/>
        <v>1824709</v>
      </c>
      <c r="AJ226" s="48">
        <f t="shared" si="440"/>
        <v>-60691.914104168303</v>
      </c>
      <c r="AK226" s="49">
        <f t="shared" si="440"/>
        <v>1858321.44</v>
      </c>
      <c r="AL226" s="48">
        <f t="shared" si="440"/>
        <v>1882895.38</v>
      </c>
      <c r="AM226" s="74">
        <f t="shared" si="379"/>
        <v>58186.379999999888</v>
      </c>
      <c r="AN226" s="94">
        <f t="shared" si="380"/>
        <v>26387.379999999888</v>
      </c>
      <c r="AO226" s="95">
        <f t="shared" si="381"/>
        <v>-31799</v>
      </c>
      <c r="AQ226" s="48"/>
      <c r="AR226" s="48"/>
      <c r="AS226" s="48"/>
      <c r="AT226" s="49">
        <f t="shared" ref="AT226:BI227" si="441">AT227</f>
        <v>1930476.62</v>
      </c>
      <c r="AU226" s="48">
        <f t="shared" si="441"/>
        <v>1887625.06</v>
      </c>
      <c r="AV226" s="48">
        <f t="shared" si="441"/>
        <v>1968600</v>
      </c>
      <c r="AW226" s="48">
        <f t="shared" si="441"/>
        <v>112092</v>
      </c>
      <c r="AX226" s="48">
        <f t="shared" si="441"/>
        <v>73968.620000000112</v>
      </c>
      <c r="AY226" s="48">
        <f t="shared" si="441"/>
        <v>47581.240000000224</v>
      </c>
      <c r="AZ226" s="48">
        <f t="shared" si="441"/>
        <v>0</v>
      </c>
      <c r="BA226" s="48">
        <f t="shared" si="441"/>
        <v>0</v>
      </c>
      <c r="BB226" s="48">
        <f t="shared" si="441"/>
        <v>0</v>
      </c>
      <c r="BC226" s="48">
        <f t="shared" si="441"/>
        <v>0</v>
      </c>
      <c r="BD226" s="48">
        <f t="shared" si="441"/>
        <v>1953581.4610438729</v>
      </c>
      <c r="BE226" s="48">
        <f t="shared" si="441"/>
        <v>1968600</v>
      </c>
      <c r="BF226" s="48">
        <f t="shared" si="441"/>
        <v>2046157.3086019999</v>
      </c>
      <c r="BG226" s="48">
        <f t="shared" si="441"/>
        <v>0</v>
      </c>
      <c r="BH226" s="48">
        <f t="shared" si="441"/>
        <v>2046157.3086019999</v>
      </c>
      <c r="BI226" s="48">
        <f t="shared" si="441"/>
        <v>77557.308601999888</v>
      </c>
      <c r="BJ226" s="48">
        <f t="shared" ref="BJ226:BV227" si="442">BJ227</f>
        <v>158532.24860199983</v>
      </c>
      <c r="BK226" s="48">
        <f t="shared" si="442"/>
        <v>2246005.2999999998</v>
      </c>
      <c r="BL226" s="48">
        <f t="shared" si="442"/>
        <v>199847.99139799993</v>
      </c>
      <c r="BM226" s="48">
        <f t="shared" si="442"/>
        <v>277405.29999999981</v>
      </c>
      <c r="BN226" s="48" t="str">
        <f t="shared" si="442"/>
        <v>vedi conteggio altro file</v>
      </c>
      <c r="BO226" s="48" t="str">
        <f t="shared" si="442"/>
        <v>vedi conteggio altro file</v>
      </c>
      <c r="BP226" s="48">
        <f t="shared" si="442"/>
        <v>2180095.11</v>
      </c>
      <c r="BQ226" s="32">
        <f t="shared" si="383"/>
        <v>-65910.189999999944</v>
      </c>
      <c r="BR226" s="32">
        <f t="shared" si="384"/>
        <v>211495.10999999987</v>
      </c>
      <c r="BS226" s="32"/>
      <c r="BT226" s="32"/>
      <c r="BU226" s="33"/>
      <c r="BV226" s="34">
        <f t="shared" si="385"/>
        <v>77557.308601999888</v>
      </c>
      <c r="BW226" s="29">
        <f>BI225+BI228+BI245</f>
        <v>150233.03860200016</v>
      </c>
      <c r="BY226" s="36"/>
      <c r="BZ226" s="36"/>
      <c r="CC226" s="37"/>
      <c r="CD226" s="48">
        <f>CD227</f>
        <v>1887625.06</v>
      </c>
    </row>
    <row r="227" spans="1:82" s="63" customFormat="1" ht="18" customHeight="1" x14ac:dyDescent="0.25">
      <c r="A227" s="96" t="s">
        <v>58</v>
      </c>
      <c r="B227" s="97"/>
      <c r="C227" s="98"/>
      <c r="D227" s="103"/>
      <c r="E227" s="98" t="s">
        <v>629</v>
      </c>
      <c r="F227" s="105"/>
      <c r="G227" s="55">
        <v>1843600</v>
      </c>
      <c r="H227" s="55">
        <v>1724800</v>
      </c>
      <c r="I227" s="55">
        <f t="shared" si="439"/>
        <v>1746000</v>
      </c>
      <c r="J227" s="55" t="str">
        <f t="shared" si="439"/>
        <v xml:space="preserve">                         Oneri sociali</v>
      </c>
      <c r="K227" s="55">
        <f t="shared" si="439"/>
        <v>1727428.08</v>
      </c>
      <c r="L227" s="55">
        <f t="shared" si="439"/>
        <v>735915.3</v>
      </c>
      <c r="M227" s="55" t="e">
        <f t="shared" si="439"/>
        <v>#REF!</v>
      </c>
      <c r="N227" s="55">
        <f t="shared" si="439"/>
        <v>1594483.1500000001</v>
      </c>
      <c r="O227" s="55">
        <f t="shared" si="439"/>
        <v>1640831.4</v>
      </c>
      <c r="P227" s="55">
        <f t="shared" si="439"/>
        <v>-151516.84999999986</v>
      </c>
      <c r="Q227" s="55">
        <f t="shared" si="439"/>
        <v>1169318.1599999999</v>
      </c>
      <c r="R227" s="55"/>
      <c r="S227" s="55">
        <f>S228</f>
        <v>1820101.56</v>
      </c>
      <c r="T227" s="55">
        <f t="shared" si="416"/>
        <v>74101.560000000056</v>
      </c>
      <c r="U227" s="55">
        <f t="shared" si="417"/>
        <v>92673.479999999981</v>
      </c>
      <c r="V227" s="55">
        <f t="shared" si="418"/>
        <v>179270.16000000015</v>
      </c>
      <c r="W227" s="57"/>
      <c r="X227" s="55">
        <f>X228</f>
        <v>1806690.3299999998</v>
      </c>
      <c r="Y227" s="88">
        <f t="shared" si="376"/>
        <v>-13411.230000000214</v>
      </c>
      <c r="Z227" s="33">
        <f t="shared" si="440"/>
        <v>1856508</v>
      </c>
      <c r="AA227" s="33">
        <f t="shared" si="440"/>
        <v>110508</v>
      </c>
      <c r="AB227" s="33">
        <f t="shared" si="440"/>
        <v>36406.439999999944</v>
      </c>
      <c r="AC227" s="33">
        <f t="shared" si="440"/>
        <v>110508</v>
      </c>
      <c r="AD227" s="33">
        <f t="shared" si="440"/>
        <v>36406.439999999944</v>
      </c>
      <c r="AE227" s="33">
        <f t="shared" si="440"/>
        <v>0</v>
      </c>
      <c r="AF227" s="33">
        <f t="shared" si="440"/>
        <v>0</v>
      </c>
      <c r="AG227" s="33">
        <f t="shared" si="440"/>
        <v>0</v>
      </c>
      <c r="AH227" s="33">
        <f t="shared" si="440"/>
        <v>1795816.0858958317</v>
      </c>
      <c r="AI227" s="33">
        <f t="shared" si="440"/>
        <v>1824709</v>
      </c>
      <c r="AJ227" s="33">
        <f t="shared" si="440"/>
        <v>-60691.914104168303</v>
      </c>
      <c r="AK227" s="60">
        <f t="shared" si="440"/>
        <v>1858321.44</v>
      </c>
      <c r="AL227" s="33">
        <f t="shared" si="440"/>
        <v>1882895.38</v>
      </c>
      <c r="AM227" s="74">
        <f t="shared" si="379"/>
        <v>58186.379999999888</v>
      </c>
      <c r="AN227" s="33">
        <f t="shared" si="380"/>
        <v>26387.379999999888</v>
      </c>
      <c r="AO227" s="75">
        <f t="shared" si="381"/>
        <v>-31799</v>
      </c>
      <c r="AQ227" s="33"/>
      <c r="AR227" s="33"/>
      <c r="AS227" s="33"/>
      <c r="AT227" s="60">
        <f t="shared" si="441"/>
        <v>1930476.62</v>
      </c>
      <c r="AU227" s="33">
        <f t="shared" si="441"/>
        <v>1887625.06</v>
      </c>
      <c r="AV227" s="33">
        <f t="shared" si="441"/>
        <v>1968600</v>
      </c>
      <c r="AW227" s="33">
        <f t="shared" si="441"/>
        <v>112092</v>
      </c>
      <c r="AX227" s="33">
        <f t="shared" si="441"/>
        <v>73968.620000000112</v>
      </c>
      <c r="AY227" s="33">
        <f t="shared" si="441"/>
        <v>47581.240000000224</v>
      </c>
      <c r="AZ227" s="33">
        <f t="shared" si="441"/>
        <v>0</v>
      </c>
      <c r="BA227" s="33">
        <f t="shared" si="441"/>
        <v>0</v>
      </c>
      <c r="BB227" s="33">
        <f t="shared" si="441"/>
        <v>0</v>
      </c>
      <c r="BC227" s="33">
        <f t="shared" si="441"/>
        <v>0</v>
      </c>
      <c r="BD227" s="33">
        <f t="shared" si="441"/>
        <v>1953581.4610438729</v>
      </c>
      <c r="BE227" s="33">
        <f t="shared" si="441"/>
        <v>1968600</v>
      </c>
      <c r="BF227" s="33">
        <f t="shared" si="441"/>
        <v>2046157.3086019999</v>
      </c>
      <c r="BG227" s="33">
        <f t="shared" si="441"/>
        <v>0</v>
      </c>
      <c r="BH227" s="33">
        <f t="shared" si="441"/>
        <v>2046157.3086019999</v>
      </c>
      <c r="BI227" s="33">
        <f t="shared" si="441"/>
        <v>77557.308601999888</v>
      </c>
      <c r="BJ227" s="33">
        <f t="shared" si="442"/>
        <v>158532.24860199983</v>
      </c>
      <c r="BK227" s="33">
        <f t="shared" si="442"/>
        <v>2246005.2999999998</v>
      </c>
      <c r="BL227" s="33">
        <f t="shared" si="442"/>
        <v>199847.99139799993</v>
      </c>
      <c r="BM227" s="33">
        <f t="shared" si="442"/>
        <v>277405.29999999981</v>
      </c>
      <c r="BN227" s="33" t="str">
        <f t="shared" si="442"/>
        <v>vedi conteggio altro file</v>
      </c>
      <c r="BO227" s="33" t="str">
        <f t="shared" si="442"/>
        <v>vedi conteggio altro file</v>
      </c>
      <c r="BP227" s="33">
        <f t="shared" si="442"/>
        <v>2180095.11</v>
      </c>
      <c r="BQ227" s="32">
        <f t="shared" si="383"/>
        <v>-65910.189999999944</v>
      </c>
      <c r="BR227" s="32">
        <f t="shared" si="384"/>
        <v>211495.10999999987</v>
      </c>
      <c r="BS227" s="32"/>
      <c r="BT227" s="32"/>
      <c r="BU227" s="33"/>
      <c r="BV227" s="34">
        <f t="shared" si="385"/>
        <v>77557.308601999888</v>
      </c>
      <c r="BY227" s="64"/>
      <c r="BZ227" s="64"/>
      <c r="CC227" s="37"/>
      <c r="CD227" s="33">
        <f>CD228</f>
        <v>1887625.06</v>
      </c>
    </row>
    <row r="228" spans="1:82" s="77" customFormat="1" ht="18" customHeight="1" x14ac:dyDescent="0.25">
      <c r="A228" s="99" t="s">
        <v>58</v>
      </c>
      <c r="B228" s="100"/>
      <c r="C228" s="101"/>
      <c r="D228" s="93"/>
      <c r="E228" s="98"/>
      <c r="F228" s="121" t="s">
        <v>630</v>
      </c>
      <c r="G228" s="83">
        <v>1843600</v>
      </c>
      <c r="H228" s="83">
        <v>1724800</v>
      </c>
      <c r="I228" s="83">
        <v>1746000</v>
      </c>
      <c r="J228" s="70" t="s">
        <v>631</v>
      </c>
      <c r="K228" s="83">
        <v>1727428.08</v>
      </c>
      <c r="L228" s="83">
        <v>735915.3</v>
      </c>
      <c r="M228" s="83" t="e">
        <f>#REF!</f>
        <v>#REF!</v>
      </c>
      <c r="N228" s="83">
        <f>L228/6*13</f>
        <v>1594483.1500000001</v>
      </c>
      <c r="O228" s="83">
        <v>1640831.4</v>
      </c>
      <c r="P228" s="83">
        <f>N228-I228</f>
        <v>-151516.84999999986</v>
      </c>
      <c r="Q228" s="83">
        <v>1169318.1599999999</v>
      </c>
      <c r="R228" s="83">
        <f>(126348.05*4)+Q228+4700+43253.23+74384.72</f>
        <v>1797048.3099999998</v>
      </c>
      <c r="S228" s="83">
        <f>1697763.61+4700+43253.23+74384.72</f>
        <v>1820101.56</v>
      </c>
      <c r="T228" s="83">
        <f t="shared" si="416"/>
        <v>74101.560000000056</v>
      </c>
      <c r="U228" s="83">
        <f t="shared" si="417"/>
        <v>92673.479999999981</v>
      </c>
      <c r="V228" s="83">
        <f t="shared" si="418"/>
        <v>179270.16000000015</v>
      </c>
      <c r="W228" s="84" t="s">
        <v>623</v>
      </c>
      <c r="X228" s="83">
        <f>1295444.21+130850.17+240456.05+17422.75+74384.72+179.2+43253.23+4700</f>
        <v>1806690.3299999998</v>
      </c>
      <c r="Y228" s="47">
        <f t="shared" si="376"/>
        <v>-13411.230000000214</v>
      </c>
      <c r="Z228" s="85">
        <v>1856508</v>
      </c>
      <c r="AA228" s="29">
        <f t="shared" ref="AA228:AA233" si="443">Z228-I228</f>
        <v>110508</v>
      </c>
      <c r="AB228" s="29">
        <f t="shared" ref="AB228:AB233" si="444">Z228-S228</f>
        <v>36406.439999999944</v>
      </c>
      <c r="AC228" s="72">
        <f>Z228-I228</f>
        <v>110508</v>
      </c>
      <c r="AD228" s="72">
        <f>Z228-S228</f>
        <v>36406.439999999944</v>
      </c>
      <c r="AE228" s="72"/>
      <c r="AF228" s="72"/>
      <c r="AG228" s="72"/>
      <c r="AH228" s="85">
        <f>[3]Oneri!$B$17</f>
        <v>1795816.0858958317</v>
      </c>
      <c r="AI228" s="85">
        <v>1824709</v>
      </c>
      <c r="AJ228" s="85">
        <f t="shared" ref="AJ228:AJ233" si="445">AH228-Z228</f>
        <v>-60691.914104168303</v>
      </c>
      <c r="AK228" s="86">
        <v>1858321.44</v>
      </c>
      <c r="AL228" s="85">
        <v>1882895.38</v>
      </c>
      <c r="AM228" s="74">
        <f t="shared" si="379"/>
        <v>58186.379999999888</v>
      </c>
      <c r="AN228" s="33">
        <f t="shared" si="380"/>
        <v>26387.379999999888</v>
      </c>
      <c r="AO228" s="75">
        <f t="shared" si="381"/>
        <v>-31799</v>
      </c>
      <c r="AP228" s="72">
        <f>AJ228</f>
        <v>-60691.914104168303</v>
      </c>
      <c r="AQ228" s="85"/>
      <c r="AR228" s="85"/>
      <c r="AS228" s="85"/>
      <c r="AT228" s="86">
        <f>2014446.49-AT245+(AT247*10%)</f>
        <v>1930476.62</v>
      </c>
      <c r="AU228" s="71">
        <v>1887625.06</v>
      </c>
      <c r="AV228" s="71">
        <v>1968600</v>
      </c>
      <c r="AW228" s="71">
        <f t="shared" ref="AW228:AW233" si="446">AV228-Z228</f>
        <v>112092</v>
      </c>
      <c r="AX228" s="76">
        <f t="shared" ref="AX228:AX233" si="447">AT228-Z228</f>
        <v>73968.620000000112</v>
      </c>
      <c r="AY228" s="76">
        <f t="shared" ref="AY228:AY233" si="448">AT228-AL228</f>
        <v>47581.240000000224</v>
      </c>
      <c r="BA228" s="76"/>
      <c r="BD228" s="72">
        <f>Z228/AZ225*BA225</f>
        <v>1953581.4610438729</v>
      </c>
      <c r="BE228" s="71">
        <v>1968600</v>
      </c>
      <c r="BF228" s="71">
        <v>2046157.3086019999</v>
      </c>
      <c r="BG228" s="78">
        <f t="shared" ref="BG228:BG233" si="449">BE228-AV228</f>
        <v>0</v>
      </c>
      <c r="BH228" s="71">
        <f>BF228</f>
        <v>2046157.3086019999</v>
      </c>
      <c r="BI228" s="33">
        <f t="shared" ref="BI228:BI233" si="450">BF228-AV228</f>
        <v>77557.308601999888</v>
      </c>
      <c r="BJ228" s="33">
        <f t="shared" ref="BJ228:BJ233" si="451">BF228-AU228</f>
        <v>158532.24860199983</v>
      </c>
      <c r="BK228" s="71">
        <v>2246005.2999999998</v>
      </c>
      <c r="BL228" s="79">
        <f t="shared" ref="BL228:BL233" si="452">BK228-BH228</f>
        <v>199847.99139799993</v>
      </c>
      <c r="BM228" s="79">
        <f t="shared" ref="BM228:BM233" si="453">BK228-AV228</f>
        <v>277405.29999999981</v>
      </c>
      <c r="BN228" s="87" t="s">
        <v>627</v>
      </c>
      <c r="BO228" s="32" t="s">
        <v>627</v>
      </c>
      <c r="BP228" s="71">
        <v>2180095.11</v>
      </c>
      <c r="BQ228" s="32">
        <f t="shared" si="383"/>
        <v>-65910.189999999944</v>
      </c>
      <c r="BR228" s="32">
        <f t="shared" si="384"/>
        <v>211495.10999999987</v>
      </c>
      <c r="BS228" s="87" t="s">
        <v>627</v>
      </c>
      <c r="BT228" s="87" t="s">
        <v>627</v>
      </c>
      <c r="BU228" s="33"/>
      <c r="BV228" s="34">
        <f t="shared" si="385"/>
        <v>77557.308601999888</v>
      </c>
      <c r="BW228" s="72">
        <f>358952.68+BW226</f>
        <v>509185.71860200015</v>
      </c>
      <c r="BX228" s="77" t="s">
        <v>632</v>
      </c>
      <c r="BY228" s="82"/>
      <c r="BZ228" s="82"/>
      <c r="CC228" s="37"/>
      <c r="CD228" s="71">
        <v>1887625.06</v>
      </c>
    </row>
    <row r="229" spans="1:82" s="77" customFormat="1" ht="18" hidden="1" customHeight="1" x14ac:dyDescent="0.25">
      <c r="A229" s="99" t="s">
        <v>58</v>
      </c>
      <c r="B229" s="100"/>
      <c r="C229" s="101"/>
      <c r="D229" s="93"/>
      <c r="E229" s="98" t="s">
        <v>633</v>
      </c>
      <c r="F229" s="105"/>
      <c r="G229" s="55">
        <v>0</v>
      </c>
      <c r="H229" s="55"/>
      <c r="I229" s="55">
        <v>0</v>
      </c>
      <c r="J229" s="55">
        <v>0</v>
      </c>
      <c r="K229" s="55">
        <v>0</v>
      </c>
      <c r="L229" s="55">
        <v>0</v>
      </c>
      <c r="M229" s="55">
        <v>0</v>
      </c>
      <c r="N229" s="55">
        <v>0</v>
      </c>
      <c r="O229" s="55">
        <v>0</v>
      </c>
      <c r="P229" s="55">
        <v>0</v>
      </c>
      <c r="Q229" s="55">
        <v>0</v>
      </c>
      <c r="R229" s="55"/>
      <c r="S229" s="55">
        <v>0</v>
      </c>
      <c r="T229" s="55">
        <f t="shared" si="416"/>
        <v>0</v>
      </c>
      <c r="U229" s="55">
        <f t="shared" si="417"/>
        <v>0</v>
      </c>
      <c r="V229" s="55">
        <f t="shared" si="418"/>
        <v>0</v>
      </c>
      <c r="W229" s="57"/>
      <c r="X229" s="55">
        <v>0</v>
      </c>
      <c r="Y229" s="47">
        <f t="shared" si="376"/>
        <v>0</v>
      </c>
      <c r="Z229" s="33">
        <v>0</v>
      </c>
      <c r="AA229" s="29">
        <f t="shared" si="443"/>
        <v>0</v>
      </c>
      <c r="AB229" s="29">
        <f t="shared" si="444"/>
        <v>0</v>
      </c>
      <c r="AC229" s="72"/>
      <c r="AD229" s="72"/>
      <c r="AE229" s="72"/>
      <c r="AF229" s="72"/>
      <c r="AG229" s="72"/>
      <c r="AH229" s="33">
        <v>0</v>
      </c>
      <c r="AI229" s="33"/>
      <c r="AJ229" s="33">
        <f t="shared" si="445"/>
        <v>0</v>
      </c>
      <c r="AK229" s="60"/>
      <c r="AL229" s="33"/>
      <c r="AM229" s="74">
        <f t="shared" si="379"/>
        <v>0</v>
      </c>
      <c r="AN229" s="33">
        <f t="shared" si="380"/>
        <v>0</v>
      </c>
      <c r="AO229" s="75">
        <f t="shared" si="381"/>
        <v>0</v>
      </c>
      <c r="AQ229" s="33"/>
      <c r="AR229" s="33"/>
      <c r="AS229" s="33"/>
      <c r="AT229" s="60"/>
      <c r="AU229" s="33"/>
      <c r="AV229" s="33"/>
      <c r="AW229" s="33">
        <f t="shared" si="446"/>
        <v>0</v>
      </c>
      <c r="AX229" s="76">
        <f t="shared" si="447"/>
        <v>0</v>
      </c>
      <c r="AY229" s="76">
        <f t="shared" si="448"/>
        <v>0</v>
      </c>
      <c r="BA229" s="76"/>
      <c r="BE229" s="33"/>
      <c r="BF229" s="33"/>
      <c r="BG229" s="78">
        <f t="shared" si="449"/>
        <v>0</v>
      </c>
      <c r="BH229" s="33"/>
      <c r="BI229" s="33">
        <f t="shared" si="450"/>
        <v>0</v>
      </c>
      <c r="BJ229" s="33">
        <f t="shared" si="451"/>
        <v>0</v>
      </c>
      <c r="BK229" s="33"/>
      <c r="BL229" s="79">
        <f t="shared" si="452"/>
        <v>0</v>
      </c>
      <c r="BM229" s="79">
        <f t="shared" si="453"/>
        <v>0</v>
      </c>
      <c r="BN229" s="32"/>
      <c r="BO229" s="32"/>
      <c r="BP229" s="33"/>
      <c r="BQ229" s="32">
        <f t="shared" si="383"/>
        <v>0</v>
      </c>
      <c r="BR229" s="32">
        <f t="shared" si="384"/>
        <v>0</v>
      </c>
      <c r="BS229" s="32"/>
      <c r="BT229" s="32"/>
      <c r="BU229" s="33"/>
      <c r="BV229" s="34">
        <f t="shared" si="385"/>
        <v>0</v>
      </c>
      <c r="BY229" s="82"/>
      <c r="BZ229" s="82"/>
      <c r="CC229" s="37"/>
      <c r="CD229" s="33"/>
    </row>
    <row r="230" spans="1:82" s="77" customFormat="1" ht="18" hidden="1" customHeight="1" x14ac:dyDescent="0.25">
      <c r="A230" s="99" t="s">
        <v>58</v>
      </c>
      <c r="B230" s="100"/>
      <c r="C230" s="101"/>
      <c r="D230" s="93"/>
      <c r="E230" s="98"/>
      <c r="F230" s="121" t="s">
        <v>634</v>
      </c>
      <c r="G230" s="83">
        <v>0</v>
      </c>
      <c r="H230" s="83"/>
      <c r="I230" s="83">
        <v>0</v>
      </c>
      <c r="J230" s="83">
        <v>0</v>
      </c>
      <c r="K230" s="83">
        <v>0</v>
      </c>
      <c r="L230" s="83">
        <v>0</v>
      </c>
      <c r="M230" s="83">
        <v>0</v>
      </c>
      <c r="N230" s="83">
        <v>0</v>
      </c>
      <c r="O230" s="83">
        <v>0</v>
      </c>
      <c r="P230" s="83">
        <f>N230-I230</f>
        <v>0</v>
      </c>
      <c r="Q230" s="83"/>
      <c r="R230" s="83"/>
      <c r="S230" s="83"/>
      <c r="T230" s="83">
        <f t="shared" si="416"/>
        <v>0</v>
      </c>
      <c r="U230" s="83">
        <f t="shared" si="417"/>
        <v>0</v>
      </c>
      <c r="V230" s="83">
        <f t="shared" si="418"/>
        <v>0</v>
      </c>
      <c r="W230" s="84"/>
      <c r="X230" s="83"/>
      <c r="Y230" s="47">
        <f t="shared" si="376"/>
        <v>0</v>
      </c>
      <c r="Z230" s="85"/>
      <c r="AA230" s="29">
        <f t="shared" si="443"/>
        <v>0</v>
      </c>
      <c r="AB230" s="29">
        <f t="shared" si="444"/>
        <v>0</v>
      </c>
      <c r="AC230" s="72"/>
      <c r="AD230" s="72"/>
      <c r="AE230" s="72"/>
      <c r="AF230" s="72"/>
      <c r="AG230" s="72"/>
      <c r="AH230" s="85"/>
      <c r="AI230" s="85"/>
      <c r="AJ230" s="85">
        <f t="shared" si="445"/>
        <v>0</v>
      </c>
      <c r="AK230" s="86"/>
      <c r="AL230" s="85"/>
      <c r="AM230" s="74">
        <f t="shared" si="379"/>
        <v>0</v>
      </c>
      <c r="AN230" s="33">
        <f t="shared" si="380"/>
        <v>0</v>
      </c>
      <c r="AO230" s="75">
        <f t="shared" si="381"/>
        <v>0</v>
      </c>
      <c r="AQ230" s="85"/>
      <c r="AR230" s="85"/>
      <c r="AS230" s="85"/>
      <c r="AT230" s="86"/>
      <c r="AU230" s="85"/>
      <c r="AV230" s="85"/>
      <c r="AW230" s="85">
        <f t="shared" si="446"/>
        <v>0</v>
      </c>
      <c r="AX230" s="76">
        <f t="shared" si="447"/>
        <v>0</v>
      </c>
      <c r="AY230" s="76">
        <f t="shared" si="448"/>
        <v>0</v>
      </c>
      <c r="BA230" s="76"/>
      <c r="BE230" s="85"/>
      <c r="BF230" s="85"/>
      <c r="BG230" s="78">
        <f t="shared" si="449"/>
        <v>0</v>
      </c>
      <c r="BH230" s="85"/>
      <c r="BI230" s="33">
        <f t="shared" si="450"/>
        <v>0</v>
      </c>
      <c r="BJ230" s="33">
        <f t="shared" si="451"/>
        <v>0</v>
      </c>
      <c r="BK230" s="85"/>
      <c r="BL230" s="79">
        <f t="shared" si="452"/>
        <v>0</v>
      </c>
      <c r="BM230" s="79">
        <f t="shared" si="453"/>
        <v>0</v>
      </c>
      <c r="BN230" s="32"/>
      <c r="BO230" s="32"/>
      <c r="BP230" s="85"/>
      <c r="BQ230" s="32">
        <f t="shared" si="383"/>
        <v>0</v>
      </c>
      <c r="BR230" s="32">
        <f t="shared" si="384"/>
        <v>0</v>
      </c>
      <c r="BS230" s="32"/>
      <c r="BT230" s="32"/>
      <c r="BU230" s="33"/>
      <c r="BV230" s="34">
        <f t="shared" si="385"/>
        <v>0</v>
      </c>
      <c r="BY230" s="82"/>
      <c r="BZ230" s="82"/>
      <c r="CC230" s="37"/>
      <c r="CD230" s="85"/>
    </row>
    <row r="231" spans="1:82" s="77" customFormat="1" ht="18" hidden="1" customHeight="1" x14ac:dyDescent="0.25">
      <c r="A231" s="99" t="s">
        <v>58</v>
      </c>
      <c r="B231" s="100"/>
      <c r="C231" s="164"/>
      <c r="D231" s="165"/>
      <c r="E231" s="166"/>
      <c r="F231" s="167" t="s">
        <v>635</v>
      </c>
      <c r="G231" s="168">
        <v>0</v>
      </c>
      <c r="H231" s="168"/>
      <c r="I231" s="168">
        <v>0</v>
      </c>
      <c r="J231" s="168">
        <v>0</v>
      </c>
      <c r="K231" s="168">
        <v>0</v>
      </c>
      <c r="L231" s="168">
        <v>0</v>
      </c>
      <c r="M231" s="168">
        <v>0</v>
      </c>
      <c r="N231" s="168">
        <v>0</v>
      </c>
      <c r="O231" s="168">
        <v>0</v>
      </c>
      <c r="P231" s="168">
        <f>N231-I231</f>
        <v>0</v>
      </c>
      <c r="Q231" s="168"/>
      <c r="R231" s="168"/>
      <c r="S231" s="168"/>
      <c r="T231" s="168">
        <f t="shared" si="416"/>
        <v>0</v>
      </c>
      <c r="U231" s="168">
        <f t="shared" si="417"/>
        <v>0</v>
      </c>
      <c r="V231" s="168">
        <f t="shared" si="418"/>
        <v>0</v>
      </c>
      <c r="W231" s="169"/>
      <c r="X231" s="168"/>
      <c r="Y231" s="170">
        <f t="shared" si="376"/>
        <v>0</v>
      </c>
      <c r="Z231" s="171"/>
      <c r="AA231" s="29">
        <f t="shared" si="443"/>
        <v>0</v>
      </c>
      <c r="AB231" s="29">
        <f t="shared" si="444"/>
        <v>0</v>
      </c>
      <c r="AC231" s="72"/>
      <c r="AD231" s="72"/>
      <c r="AE231" s="72"/>
      <c r="AF231" s="72"/>
      <c r="AG231" s="72"/>
      <c r="AH231" s="171"/>
      <c r="AI231" s="171"/>
      <c r="AJ231" s="171">
        <f t="shared" si="445"/>
        <v>0</v>
      </c>
      <c r="AK231" s="172"/>
      <c r="AL231" s="171"/>
      <c r="AM231" s="173">
        <f t="shared" si="379"/>
        <v>0</v>
      </c>
      <c r="AN231" s="174">
        <f t="shared" si="380"/>
        <v>0</v>
      </c>
      <c r="AO231" s="175">
        <f t="shared" si="381"/>
        <v>0</v>
      </c>
      <c r="AQ231" s="171"/>
      <c r="AR231" s="171"/>
      <c r="AS231" s="171"/>
      <c r="AT231" s="172"/>
      <c r="AU231" s="171"/>
      <c r="AV231" s="171"/>
      <c r="AW231" s="171">
        <f t="shared" si="446"/>
        <v>0</v>
      </c>
      <c r="AX231" s="76">
        <f t="shared" si="447"/>
        <v>0</v>
      </c>
      <c r="AY231" s="76">
        <f t="shared" si="448"/>
        <v>0</v>
      </c>
      <c r="BA231" s="76"/>
      <c r="BE231" s="171"/>
      <c r="BF231" s="171"/>
      <c r="BG231" s="176">
        <f t="shared" si="449"/>
        <v>0</v>
      </c>
      <c r="BH231" s="171"/>
      <c r="BI231" s="174">
        <f t="shared" si="450"/>
        <v>0</v>
      </c>
      <c r="BJ231" s="33">
        <f t="shared" si="451"/>
        <v>0</v>
      </c>
      <c r="BK231" s="171"/>
      <c r="BL231" s="79">
        <f t="shared" si="452"/>
        <v>0</v>
      </c>
      <c r="BM231" s="79">
        <f t="shared" si="453"/>
        <v>0</v>
      </c>
      <c r="BN231" s="177"/>
      <c r="BO231" s="177"/>
      <c r="BP231" s="171"/>
      <c r="BQ231" s="32">
        <f t="shared" si="383"/>
        <v>0</v>
      </c>
      <c r="BR231" s="32">
        <f t="shared" si="384"/>
        <v>0</v>
      </c>
      <c r="BS231" s="177"/>
      <c r="BT231" s="177"/>
      <c r="BU231" s="33"/>
      <c r="BV231" s="34">
        <f t="shared" si="385"/>
        <v>0</v>
      </c>
      <c r="BY231" s="82"/>
      <c r="BZ231" s="82"/>
      <c r="CC231" s="37"/>
      <c r="CD231" s="171"/>
    </row>
    <row r="232" spans="1:82" s="77" customFormat="1" ht="18" hidden="1" customHeight="1" x14ac:dyDescent="0.25">
      <c r="A232" s="99" t="s">
        <v>58</v>
      </c>
      <c r="B232" s="100"/>
      <c r="C232" s="101"/>
      <c r="D232" s="93"/>
      <c r="E232" s="98" t="s">
        <v>636</v>
      </c>
      <c r="F232" s="105"/>
      <c r="G232" s="55">
        <v>0</v>
      </c>
      <c r="H232" s="55"/>
      <c r="I232" s="55">
        <v>0</v>
      </c>
      <c r="J232" s="55">
        <v>0</v>
      </c>
      <c r="K232" s="55">
        <v>0</v>
      </c>
      <c r="L232" s="55">
        <v>0</v>
      </c>
      <c r="M232" s="55">
        <v>0</v>
      </c>
      <c r="N232" s="55">
        <v>0</v>
      </c>
      <c r="O232" s="55">
        <v>0</v>
      </c>
      <c r="P232" s="55">
        <v>0</v>
      </c>
      <c r="Q232" s="55">
        <v>0</v>
      </c>
      <c r="R232" s="55"/>
      <c r="S232" s="55">
        <v>0</v>
      </c>
      <c r="T232" s="55">
        <f t="shared" si="416"/>
        <v>0</v>
      </c>
      <c r="U232" s="55">
        <f t="shared" si="417"/>
        <v>0</v>
      </c>
      <c r="V232" s="55">
        <f t="shared" si="418"/>
        <v>0</v>
      </c>
      <c r="W232" s="57"/>
      <c r="X232" s="55">
        <v>0</v>
      </c>
      <c r="Y232" s="47">
        <f t="shared" si="376"/>
        <v>0</v>
      </c>
      <c r="Z232" s="33">
        <v>0</v>
      </c>
      <c r="AA232" s="178">
        <f t="shared" si="443"/>
        <v>0</v>
      </c>
      <c r="AB232" s="178">
        <f t="shared" si="444"/>
        <v>0</v>
      </c>
      <c r="AC232" s="179"/>
      <c r="AD232" s="179"/>
      <c r="AE232" s="179"/>
      <c r="AF232" s="179"/>
      <c r="AG232" s="179"/>
      <c r="AH232" s="33">
        <v>0</v>
      </c>
      <c r="AI232" s="33"/>
      <c r="AJ232" s="33">
        <f t="shared" si="445"/>
        <v>0</v>
      </c>
      <c r="AK232" s="60"/>
      <c r="AL232" s="33"/>
      <c r="AM232" s="74">
        <f t="shared" si="379"/>
        <v>0</v>
      </c>
      <c r="AN232" s="33">
        <f t="shared" si="380"/>
        <v>0</v>
      </c>
      <c r="AO232" s="33">
        <f t="shared" si="381"/>
        <v>0</v>
      </c>
      <c r="AP232" s="67"/>
      <c r="AQ232" s="33"/>
      <c r="AR232" s="33"/>
      <c r="AS232" s="33"/>
      <c r="AT232" s="60"/>
      <c r="AU232" s="33"/>
      <c r="AV232" s="33"/>
      <c r="AW232" s="33">
        <f t="shared" si="446"/>
        <v>0</v>
      </c>
      <c r="AX232" s="180">
        <f t="shared" si="447"/>
        <v>0</v>
      </c>
      <c r="AY232" s="180">
        <f t="shared" si="448"/>
        <v>0</v>
      </c>
      <c r="AZ232" s="67"/>
      <c r="BA232" s="180"/>
      <c r="BB232" s="67"/>
      <c r="BC232" s="67"/>
      <c r="BD232" s="67"/>
      <c r="BE232" s="33"/>
      <c r="BF232" s="33"/>
      <c r="BG232" s="78">
        <f t="shared" si="449"/>
        <v>0</v>
      </c>
      <c r="BH232" s="33"/>
      <c r="BI232" s="33">
        <f t="shared" si="450"/>
        <v>0</v>
      </c>
      <c r="BJ232" s="33">
        <f t="shared" si="451"/>
        <v>0</v>
      </c>
      <c r="BK232" s="33"/>
      <c r="BL232" s="79">
        <f t="shared" si="452"/>
        <v>0</v>
      </c>
      <c r="BM232" s="79">
        <f t="shared" si="453"/>
        <v>0</v>
      </c>
      <c r="BN232" s="32"/>
      <c r="BO232" s="32"/>
      <c r="BP232" s="33"/>
      <c r="BQ232" s="32">
        <f t="shared" si="383"/>
        <v>0</v>
      </c>
      <c r="BR232" s="32">
        <f t="shared" si="384"/>
        <v>0</v>
      </c>
      <c r="BS232" s="32"/>
      <c r="BT232" s="32"/>
      <c r="BU232" s="33"/>
      <c r="BV232" s="34">
        <f t="shared" si="385"/>
        <v>0</v>
      </c>
      <c r="BY232" s="82"/>
      <c r="BZ232" s="82"/>
      <c r="CC232" s="37"/>
      <c r="CD232" s="33"/>
    </row>
    <row r="233" spans="1:82" s="77" customFormat="1" ht="18" hidden="1" customHeight="1" x14ac:dyDescent="0.25">
      <c r="A233" s="99" t="s">
        <v>58</v>
      </c>
      <c r="B233" s="181"/>
      <c r="C233" s="101"/>
      <c r="D233" s="93"/>
      <c r="E233" s="98"/>
      <c r="F233" s="121" t="s">
        <v>636</v>
      </c>
      <c r="G233" s="83">
        <v>0</v>
      </c>
      <c r="H233" s="83"/>
      <c r="I233" s="83">
        <v>0</v>
      </c>
      <c r="J233" s="70"/>
      <c r="K233" s="83">
        <v>0</v>
      </c>
      <c r="L233" s="83"/>
      <c r="M233" s="83"/>
      <c r="N233" s="83"/>
      <c r="O233" s="83">
        <v>0</v>
      </c>
      <c r="P233" s="83">
        <f>N233-I233</f>
        <v>0</v>
      </c>
      <c r="Q233" s="83"/>
      <c r="R233" s="83"/>
      <c r="S233" s="83"/>
      <c r="T233" s="83">
        <f t="shared" si="416"/>
        <v>0</v>
      </c>
      <c r="U233" s="83">
        <f t="shared" si="417"/>
        <v>0</v>
      </c>
      <c r="V233" s="83">
        <f t="shared" si="418"/>
        <v>0</v>
      </c>
      <c r="W233" s="84"/>
      <c r="X233" s="83"/>
      <c r="Y233" s="47">
        <f t="shared" si="376"/>
        <v>0</v>
      </c>
      <c r="Z233" s="85"/>
      <c r="AA233" s="178">
        <f t="shared" si="443"/>
        <v>0</v>
      </c>
      <c r="AB233" s="178">
        <f t="shared" si="444"/>
        <v>0</v>
      </c>
      <c r="AC233" s="179"/>
      <c r="AD233" s="179"/>
      <c r="AE233" s="179"/>
      <c r="AF233" s="179"/>
      <c r="AG233" s="179"/>
      <c r="AH233" s="85"/>
      <c r="AI233" s="85"/>
      <c r="AJ233" s="85">
        <f t="shared" si="445"/>
        <v>0</v>
      </c>
      <c r="AK233" s="86"/>
      <c r="AL233" s="85"/>
      <c r="AM233" s="74">
        <f t="shared" si="379"/>
        <v>0</v>
      </c>
      <c r="AN233" s="33">
        <f t="shared" si="380"/>
        <v>0</v>
      </c>
      <c r="AO233" s="33">
        <f t="shared" si="381"/>
        <v>0</v>
      </c>
      <c r="AP233" s="67"/>
      <c r="AQ233" s="85"/>
      <c r="AR233" s="85"/>
      <c r="AS233" s="85"/>
      <c r="AT233" s="86"/>
      <c r="AU233" s="85"/>
      <c r="AV233" s="85"/>
      <c r="AW233" s="85">
        <f t="shared" si="446"/>
        <v>0</v>
      </c>
      <c r="AX233" s="180">
        <f t="shared" si="447"/>
        <v>0</v>
      </c>
      <c r="AY233" s="180">
        <f t="shared" si="448"/>
        <v>0</v>
      </c>
      <c r="AZ233" s="67"/>
      <c r="BA233" s="180"/>
      <c r="BB233" s="67"/>
      <c r="BC233" s="67"/>
      <c r="BD233" s="67"/>
      <c r="BE233" s="85"/>
      <c r="BF233" s="85"/>
      <c r="BG233" s="78">
        <f t="shared" si="449"/>
        <v>0</v>
      </c>
      <c r="BH233" s="85"/>
      <c r="BI233" s="33">
        <f t="shared" si="450"/>
        <v>0</v>
      </c>
      <c r="BJ233" s="33">
        <f t="shared" si="451"/>
        <v>0</v>
      </c>
      <c r="BK233" s="85"/>
      <c r="BL233" s="79">
        <f t="shared" si="452"/>
        <v>0</v>
      </c>
      <c r="BM233" s="79">
        <f t="shared" si="453"/>
        <v>0</v>
      </c>
      <c r="BN233" s="32"/>
      <c r="BO233" s="32"/>
      <c r="BP233" s="85"/>
      <c r="BQ233" s="32">
        <f t="shared" si="383"/>
        <v>0</v>
      </c>
      <c r="BR233" s="32">
        <f t="shared" si="384"/>
        <v>0</v>
      </c>
      <c r="BS233" s="32"/>
      <c r="BT233" s="32"/>
      <c r="BU233" s="33"/>
      <c r="BV233" s="34">
        <f t="shared" si="385"/>
        <v>0</v>
      </c>
      <c r="BY233" s="82"/>
      <c r="BZ233" s="82"/>
      <c r="CC233" s="37"/>
      <c r="CD233" s="85"/>
    </row>
    <row r="234" spans="1:82" s="35" customFormat="1" ht="18" customHeight="1" x14ac:dyDescent="0.25">
      <c r="A234" s="38" t="s">
        <v>58</v>
      </c>
      <c r="B234" s="39"/>
      <c r="C234" s="93"/>
      <c r="D234" s="93" t="s">
        <v>637</v>
      </c>
      <c r="E234" s="103"/>
      <c r="F234" s="104"/>
      <c r="G234" s="46">
        <v>263700</v>
      </c>
      <c r="H234" s="46">
        <v>263700</v>
      </c>
      <c r="I234" s="46">
        <f t="shared" ref="I234:Q235" si="454">I235</f>
        <v>294400</v>
      </c>
      <c r="J234" s="46" t="str">
        <f t="shared" si="454"/>
        <v xml:space="preserve">                         T.F.R. personale</v>
      </c>
      <c r="K234" s="46">
        <f t="shared" si="454"/>
        <v>332317.36</v>
      </c>
      <c r="L234" s="46">
        <f t="shared" si="454"/>
        <v>21988.46</v>
      </c>
      <c r="M234" s="46">
        <f t="shared" si="454"/>
        <v>147200</v>
      </c>
      <c r="N234" s="46">
        <f t="shared" si="454"/>
        <v>294400</v>
      </c>
      <c r="O234" s="46">
        <f t="shared" si="454"/>
        <v>427479.25</v>
      </c>
      <c r="P234" s="46">
        <f t="shared" si="454"/>
        <v>0</v>
      </c>
      <c r="Q234" s="46">
        <f t="shared" si="454"/>
        <v>33331.160000000003</v>
      </c>
      <c r="R234" s="46"/>
      <c r="S234" s="46">
        <f>S235</f>
        <v>400000</v>
      </c>
      <c r="T234" s="46">
        <f t="shared" si="416"/>
        <v>105600</v>
      </c>
      <c r="U234" s="46">
        <f t="shared" si="417"/>
        <v>67682.640000000014</v>
      </c>
      <c r="V234" s="46">
        <f t="shared" si="418"/>
        <v>-27479.25</v>
      </c>
      <c r="W234" s="47"/>
      <c r="X234" s="46">
        <f>X235</f>
        <v>558000</v>
      </c>
      <c r="Y234" s="47">
        <f t="shared" si="376"/>
        <v>158000</v>
      </c>
      <c r="Z234" s="48">
        <f t="shared" ref="Z234:AL235" si="455">Z235</f>
        <v>418553</v>
      </c>
      <c r="AA234" s="48">
        <f t="shared" si="455"/>
        <v>124153</v>
      </c>
      <c r="AB234" s="48">
        <f t="shared" si="455"/>
        <v>18553</v>
      </c>
      <c r="AC234" s="48" t="str">
        <f t="shared" si="455"/>
        <v>Rivalutazione 4,3%</v>
      </c>
      <c r="AD234" s="48">
        <f t="shared" si="455"/>
        <v>519929.51</v>
      </c>
      <c r="AE234" s="48">
        <f t="shared" si="455"/>
        <v>124153</v>
      </c>
      <c r="AF234" s="48">
        <f t="shared" si="455"/>
        <v>0</v>
      </c>
      <c r="AG234" s="48">
        <f t="shared" si="455"/>
        <v>0</v>
      </c>
      <c r="AH234" s="48">
        <f t="shared" si="455"/>
        <v>285940.68078598403</v>
      </c>
      <c r="AI234" s="48">
        <f t="shared" si="455"/>
        <v>290553</v>
      </c>
      <c r="AJ234" s="48">
        <f t="shared" si="455"/>
        <v>-132612.31921401597</v>
      </c>
      <c r="AK234" s="49">
        <f t="shared" si="455"/>
        <v>306035.90000000002</v>
      </c>
      <c r="AL234" s="48">
        <f t="shared" si="455"/>
        <v>313608.65000000002</v>
      </c>
      <c r="AM234" s="74">
        <f t="shared" si="379"/>
        <v>23055.650000000023</v>
      </c>
      <c r="AN234" s="94">
        <f t="shared" si="380"/>
        <v>-104944.34999999998</v>
      </c>
      <c r="AO234" s="94">
        <f t="shared" si="381"/>
        <v>-128000</v>
      </c>
      <c r="AP234" s="43"/>
      <c r="AQ234" s="48"/>
      <c r="AR234" s="48"/>
      <c r="AS234" s="48"/>
      <c r="AT234" s="49">
        <f t="shared" ref="AT234:BI235" si="456">AT235</f>
        <v>299300</v>
      </c>
      <c r="AU234" s="48">
        <f t="shared" si="456"/>
        <v>386150.04</v>
      </c>
      <c r="AV234" s="48">
        <f t="shared" si="456"/>
        <v>311500</v>
      </c>
      <c r="AW234" s="48">
        <f t="shared" si="456"/>
        <v>-107053</v>
      </c>
      <c r="AX234" s="48">
        <f t="shared" si="456"/>
        <v>-119253</v>
      </c>
      <c r="AY234" s="48">
        <f t="shared" si="456"/>
        <v>-14308.650000000023</v>
      </c>
      <c r="AZ234" s="48">
        <f t="shared" si="456"/>
        <v>0</v>
      </c>
      <c r="BA234" s="48">
        <f t="shared" si="456"/>
        <v>0</v>
      </c>
      <c r="BB234" s="48">
        <f t="shared" si="456"/>
        <v>0</v>
      </c>
      <c r="BC234" s="48">
        <f t="shared" si="456"/>
        <v>0</v>
      </c>
      <c r="BD234" s="48">
        <f t="shared" si="456"/>
        <v>0</v>
      </c>
      <c r="BE234" s="48">
        <f t="shared" si="456"/>
        <v>300744.71999999997</v>
      </c>
      <c r="BF234" s="48">
        <f t="shared" si="456"/>
        <v>311500</v>
      </c>
      <c r="BG234" s="48">
        <f t="shared" si="456"/>
        <v>-10755.280000000028</v>
      </c>
      <c r="BH234" s="48">
        <f t="shared" si="456"/>
        <v>311500</v>
      </c>
      <c r="BI234" s="48">
        <f t="shared" si="456"/>
        <v>0</v>
      </c>
      <c r="BJ234" s="48">
        <f t="shared" ref="BJ234:BV235" si="457">BJ235</f>
        <v>-74650.039999999979</v>
      </c>
      <c r="BK234" s="48">
        <f t="shared" si="457"/>
        <v>481200</v>
      </c>
      <c r="BL234" s="48">
        <f t="shared" si="457"/>
        <v>169700</v>
      </c>
      <c r="BM234" s="48">
        <f t="shared" si="457"/>
        <v>169700</v>
      </c>
      <c r="BN234" s="48">
        <f t="shared" si="457"/>
        <v>0</v>
      </c>
      <c r="BO234" s="48">
        <f t="shared" si="457"/>
        <v>0</v>
      </c>
      <c r="BP234" s="48">
        <f t="shared" si="457"/>
        <v>423351.07</v>
      </c>
      <c r="BQ234" s="32">
        <f t="shared" si="383"/>
        <v>-57848.929999999993</v>
      </c>
      <c r="BR234" s="32">
        <f t="shared" si="384"/>
        <v>111851.07</v>
      </c>
      <c r="BS234" s="32"/>
      <c r="BT234" s="32"/>
      <c r="BU234" s="33"/>
      <c r="BV234" s="34">
        <f t="shared" si="385"/>
        <v>0</v>
      </c>
      <c r="BY234" s="36"/>
      <c r="BZ234" s="36"/>
      <c r="CC234" s="37"/>
      <c r="CD234" s="48">
        <f>CD235</f>
        <v>386150.04</v>
      </c>
    </row>
    <row r="235" spans="1:82" s="63" customFormat="1" ht="18" customHeight="1" x14ac:dyDescent="0.25">
      <c r="A235" s="96" t="s">
        <v>58</v>
      </c>
      <c r="B235" s="97"/>
      <c r="C235" s="182"/>
      <c r="D235" s="183"/>
      <c r="E235" s="182" t="s">
        <v>638</v>
      </c>
      <c r="F235" s="184"/>
      <c r="G235" s="185">
        <v>263700</v>
      </c>
      <c r="H235" s="185">
        <v>263700</v>
      </c>
      <c r="I235" s="185">
        <f t="shared" si="454"/>
        <v>294400</v>
      </c>
      <c r="J235" s="185" t="str">
        <f t="shared" si="454"/>
        <v xml:space="preserve">                         T.F.R. personale</v>
      </c>
      <c r="K235" s="185">
        <f t="shared" si="454"/>
        <v>332317.36</v>
      </c>
      <c r="L235" s="185">
        <f t="shared" si="454"/>
        <v>21988.46</v>
      </c>
      <c r="M235" s="185">
        <f t="shared" si="454"/>
        <v>147200</v>
      </c>
      <c r="N235" s="185">
        <f t="shared" si="454"/>
        <v>294400</v>
      </c>
      <c r="O235" s="185">
        <f t="shared" si="454"/>
        <v>427479.25</v>
      </c>
      <c r="P235" s="185">
        <f t="shared" si="454"/>
        <v>0</v>
      </c>
      <c r="Q235" s="185">
        <f t="shared" si="454"/>
        <v>33331.160000000003</v>
      </c>
      <c r="R235" s="185"/>
      <c r="S235" s="185">
        <f>S236</f>
        <v>400000</v>
      </c>
      <c r="T235" s="185">
        <f t="shared" si="416"/>
        <v>105600</v>
      </c>
      <c r="U235" s="185">
        <f t="shared" si="417"/>
        <v>67682.640000000014</v>
      </c>
      <c r="V235" s="185">
        <f t="shared" si="418"/>
        <v>-27479.25</v>
      </c>
      <c r="W235" s="186"/>
      <c r="X235" s="185">
        <f>X236</f>
        <v>558000</v>
      </c>
      <c r="Y235" s="187">
        <f t="shared" si="376"/>
        <v>158000</v>
      </c>
      <c r="Z235" s="75">
        <f t="shared" si="455"/>
        <v>418553</v>
      </c>
      <c r="AA235" s="75">
        <f t="shared" si="455"/>
        <v>124153</v>
      </c>
      <c r="AB235" s="75">
        <f t="shared" si="455"/>
        <v>18553</v>
      </c>
      <c r="AC235" s="75" t="str">
        <f t="shared" si="455"/>
        <v>Rivalutazione 4,3%</v>
      </c>
      <c r="AD235" s="75">
        <f t="shared" si="455"/>
        <v>519929.51</v>
      </c>
      <c r="AE235" s="75">
        <f t="shared" si="455"/>
        <v>124153</v>
      </c>
      <c r="AF235" s="75">
        <f t="shared" si="455"/>
        <v>0</v>
      </c>
      <c r="AG235" s="75">
        <f t="shared" si="455"/>
        <v>0</v>
      </c>
      <c r="AH235" s="75">
        <f t="shared" si="455"/>
        <v>285940.68078598403</v>
      </c>
      <c r="AI235" s="75">
        <f t="shared" si="455"/>
        <v>290553</v>
      </c>
      <c r="AJ235" s="75">
        <f t="shared" si="455"/>
        <v>-132612.31921401597</v>
      </c>
      <c r="AK235" s="188">
        <f t="shared" si="455"/>
        <v>306035.90000000002</v>
      </c>
      <c r="AL235" s="75">
        <f t="shared" si="455"/>
        <v>313608.65000000002</v>
      </c>
      <c r="AM235" s="189">
        <f t="shared" si="379"/>
        <v>23055.650000000023</v>
      </c>
      <c r="AN235" s="75">
        <f t="shared" si="380"/>
        <v>-104944.34999999998</v>
      </c>
      <c r="AO235" s="75">
        <f t="shared" si="381"/>
        <v>-128000</v>
      </c>
      <c r="AQ235" s="75"/>
      <c r="AR235" s="75"/>
      <c r="AS235" s="75"/>
      <c r="AT235" s="188">
        <f t="shared" si="456"/>
        <v>299300</v>
      </c>
      <c r="AU235" s="75">
        <f t="shared" si="456"/>
        <v>386150.04</v>
      </c>
      <c r="AV235" s="75">
        <f t="shared" si="456"/>
        <v>311500</v>
      </c>
      <c r="AW235" s="75">
        <f t="shared" si="456"/>
        <v>-107053</v>
      </c>
      <c r="AX235" s="75">
        <f t="shared" si="456"/>
        <v>-119253</v>
      </c>
      <c r="AY235" s="75">
        <f t="shared" si="456"/>
        <v>-14308.650000000023</v>
      </c>
      <c r="AZ235" s="75">
        <f t="shared" si="456"/>
        <v>0</v>
      </c>
      <c r="BA235" s="75">
        <f t="shared" si="456"/>
        <v>0</v>
      </c>
      <c r="BB235" s="75">
        <f t="shared" si="456"/>
        <v>0</v>
      </c>
      <c r="BC235" s="75">
        <f t="shared" si="456"/>
        <v>0</v>
      </c>
      <c r="BD235" s="75">
        <f t="shared" si="456"/>
        <v>0</v>
      </c>
      <c r="BE235" s="75">
        <f t="shared" si="456"/>
        <v>300744.71999999997</v>
      </c>
      <c r="BF235" s="75">
        <f t="shared" si="456"/>
        <v>311500</v>
      </c>
      <c r="BG235" s="75">
        <f t="shared" si="456"/>
        <v>-10755.280000000028</v>
      </c>
      <c r="BH235" s="75">
        <f t="shared" si="456"/>
        <v>311500</v>
      </c>
      <c r="BI235" s="75">
        <f t="shared" si="456"/>
        <v>0</v>
      </c>
      <c r="BJ235" s="75">
        <f t="shared" si="457"/>
        <v>-74650.039999999979</v>
      </c>
      <c r="BK235" s="75">
        <f t="shared" si="457"/>
        <v>481200</v>
      </c>
      <c r="BL235" s="75">
        <f t="shared" si="457"/>
        <v>169700</v>
      </c>
      <c r="BM235" s="75">
        <f t="shared" si="457"/>
        <v>169700</v>
      </c>
      <c r="BN235" s="75">
        <f t="shared" si="457"/>
        <v>0</v>
      </c>
      <c r="BO235" s="75">
        <f t="shared" si="457"/>
        <v>0</v>
      </c>
      <c r="BP235" s="75">
        <f t="shared" si="457"/>
        <v>423351.07</v>
      </c>
      <c r="BQ235" s="32">
        <f t="shared" si="383"/>
        <v>-57848.929999999993</v>
      </c>
      <c r="BR235" s="32">
        <f t="shared" si="384"/>
        <v>111851.07</v>
      </c>
      <c r="BS235" s="190"/>
      <c r="BT235" s="190"/>
      <c r="BU235" s="33"/>
      <c r="BV235" s="34">
        <f t="shared" si="385"/>
        <v>0</v>
      </c>
      <c r="BY235" s="64"/>
      <c r="BZ235" s="64"/>
      <c r="CC235" s="37"/>
      <c r="CD235" s="75">
        <f>CD236</f>
        <v>386150.04</v>
      </c>
    </row>
    <row r="236" spans="1:82" s="77" customFormat="1" ht="18" customHeight="1" x14ac:dyDescent="0.25">
      <c r="A236" s="99" t="s">
        <v>58</v>
      </c>
      <c r="B236" s="100"/>
      <c r="C236" s="101"/>
      <c r="D236" s="93"/>
      <c r="E236" s="98"/>
      <c r="F236" s="121" t="s">
        <v>638</v>
      </c>
      <c r="G236" s="83">
        <v>263700</v>
      </c>
      <c r="H236" s="83">
        <v>263700</v>
      </c>
      <c r="I236" s="83">
        <v>294400</v>
      </c>
      <c r="J236" s="70" t="s">
        <v>639</v>
      </c>
      <c r="K236" s="83">
        <v>332317.36</v>
      </c>
      <c r="L236" s="83">
        <v>21988.46</v>
      </c>
      <c r="M236" s="83">
        <f>294400/2</f>
        <v>147200</v>
      </c>
      <c r="N236" s="83">
        <f>294400</f>
        <v>294400</v>
      </c>
      <c r="O236" s="83">
        <v>427479.25</v>
      </c>
      <c r="P236" s="83">
        <f>N236-I236</f>
        <v>0</v>
      </c>
      <c r="Q236" s="83">
        <v>33331.160000000003</v>
      </c>
      <c r="R236" s="83"/>
      <c r="S236" s="83">
        <v>400000</v>
      </c>
      <c r="T236" s="83">
        <f t="shared" si="416"/>
        <v>105600</v>
      </c>
      <c r="U236" s="83">
        <f t="shared" si="417"/>
        <v>67682.640000000014</v>
      </c>
      <c r="V236" s="83">
        <f t="shared" si="418"/>
        <v>-27479.25</v>
      </c>
      <c r="W236" s="84" t="s">
        <v>640</v>
      </c>
      <c r="X236" s="83">
        <v>558000</v>
      </c>
      <c r="Y236" s="47">
        <f t="shared" si="376"/>
        <v>158000</v>
      </c>
      <c r="Z236" s="85">
        <v>418553</v>
      </c>
      <c r="AA236" s="29">
        <f>Z236-I236</f>
        <v>124153</v>
      </c>
      <c r="AB236" s="29">
        <f>Z236-S236</f>
        <v>18553</v>
      </c>
      <c r="AC236" s="72" t="s">
        <v>641</v>
      </c>
      <c r="AD236" s="72">
        <f>'[6]TFR 2022'!$B$24</f>
        <v>519929.51</v>
      </c>
      <c r="AE236" s="89">
        <f>AA236</f>
        <v>124153</v>
      </c>
      <c r="AF236" s="72"/>
      <c r="AG236" s="72"/>
      <c r="AH236" s="85">
        <f>'[6]TFR 2023'!$B$13</f>
        <v>285940.68078598403</v>
      </c>
      <c r="AI236" s="85">
        <v>290553</v>
      </c>
      <c r="AJ236" s="85">
        <f>AH236-Z236</f>
        <v>-132612.31921401597</v>
      </c>
      <c r="AK236" s="86">
        <v>306035.90000000002</v>
      </c>
      <c r="AL236" s="85">
        <v>313608.65000000002</v>
      </c>
      <c r="AM236" s="74">
        <f t="shared" si="379"/>
        <v>23055.650000000023</v>
      </c>
      <c r="AN236" s="33">
        <f t="shared" si="380"/>
        <v>-104944.34999999998</v>
      </c>
      <c r="AO236" s="75">
        <f t="shared" si="381"/>
        <v>-128000</v>
      </c>
      <c r="AP236" s="72">
        <f>AJ236</f>
        <v>-132612.31921401597</v>
      </c>
      <c r="AQ236" s="85" t="s">
        <v>642</v>
      </c>
      <c r="AR236" s="85" t="s">
        <v>643</v>
      </c>
      <c r="AS236" s="85" t="s">
        <v>642</v>
      </c>
      <c r="AT236" s="86">
        <v>299300</v>
      </c>
      <c r="AU236" s="71">
        <v>386150.04</v>
      </c>
      <c r="AV236" s="71">
        <v>311500</v>
      </c>
      <c r="AW236" s="71">
        <f>AV236-Z236</f>
        <v>-107053</v>
      </c>
      <c r="AX236" s="76">
        <f>AT236-Z236</f>
        <v>-119253</v>
      </c>
      <c r="AY236" s="76">
        <f>AT236-AL236</f>
        <v>-14308.650000000023</v>
      </c>
      <c r="BA236" s="76"/>
      <c r="BE236" s="71">
        <f>311500-10755.28</f>
        <v>300744.71999999997</v>
      </c>
      <c r="BF236" s="71">
        <f>AV236</f>
        <v>311500</v>
      </c>
      <c r="BG236" s="78">
        <f>BE236-AV236</f>
        <v>-10755.280000000028</v>
      </c>
      <c r="BH236" s="71">
        <f>BF236</f>
        <v>311500</v>
      </c>
      <c r="BI236" s="33">
        <f>BF236-AV236</f>
        <v>0</v>
      </c>
      <c r="BJ236" s="33">
        <f>BF236-AU236</f>
        <v>-74650.039999999979</v>
      </c>
      <c r="BK236" s="71">
        <v>481200</v>
      </c>
      <c r="BL236" s="79">
        <f>BK236-BH236</f>
        <v>169700</v>
      </c>
      <c r="BM236" s="79">
        <f>BK236-AV236</f>
        <v>169700</v>
      </c>
      <c r="BN236" s="32"/>
      <c r="BO236" s="32"/>
      <c r="BP236" s="71">
        <v>423351.07</v>
      </c>
      <c r="BQ236" s="32">
        <f t="shared" si="383"/>
        <v>-57848.929999999993</v>
      </c>
      <c r="BR236" s="32">
        <f t="shared" si="384"/>
        <v>111851.07</v>
      </c>
      <c r="BS236" s="32"/>
      <c r="BT236" s="32"/>
      <c r="BU236" s="33" t="s">
        <v>644</v>
      </c>
      <c r="BV236" s="34">
        <f t="shared" si="385"/>
        <v>0</v>
      </c>
      <c r="BY236" s="82"/>
      <c r="BZ236" s="82"/>
      <c r="CC236" s="37"/>
      <c r="CD236" s="71">
        <v>386150.04</v>
      </c>
    </row>
    <row r="237" spans="1:82" s="35" customFormat="1" ht="18" customHeight="1" x14ac:dyDescent="0.25">
      <c r="A237" s="38" t="s">
        <v>58</v>
      </c>
      <c r="B237" s="39"/>
      <c r="C237" s="93"/>
      <c r="D237" s="93" t="s">
        <v>645</v>
      </c>
      <c r="E237" s="103"/>
      <c r="F237" s="104"/>
      <c r="G237" s="46">
        <v>202300</v>
      </c>
      <c r="H237" s="46">
        <v>175200</v>
      </c>
      <c r="I237" s="46">
        <f t="shared" ref="I237:Q237" si="458">I238</f>
        <v>170300</v>
      </c>
      <c r="J237" s="46">
        <f t="shared" si="458"/>
        <v>0</v>
      </c>
      <c r="K237" s="46">
        <f t="shared" si="458"/>
        <v>169407.13999999998</v>
      </c>
      <c r="L237" s="46">
        <f t="shared" si="458"/>
        <v>90528.42</v>
      </c>
      <c r="M237" s="46">
        <f t="shared" si="458"/>
        <v>81206</v>
      </c>
      <c r="N237" s="46">
        <f t="shared" si="458"/>
        <v>174612</v>
      </c>
      <c r="O237" s="46">
        <f t="shared" si="458"/>
        <v>182410</v>
      </c>
      <c r="P237" s="46">
        <f t="shared" si="458"/>
        <v>4312.0000000000036</v>
      </c>
      <c r="Q237" s="46">
        <f t="shared" si="458"/>
        <v>120153.86</v>
      </c>
      <c r="R237" s="46"/>
      <c r="S237" s="46">
        <f>S238</f>
        <v>179767.65000000002</v>
      </c>
      <c r="T237" s="46">
        <f t="shared" si="416"/>
        <v>9467.6500000000233</v>
      </c>
      <c r="U237" s="46">
        <f t="shared" si="417"/>
        <v>10360.510000000038</v>
      </c>
      <c r="V237" s="46">
        <f t="shared" si="418"/>
        <v>-2642.3499999999767</v>
      </c>
      <c r="W237" s="47"/>
      <c r="X237" s="46">
        <f>X238</f>
        <v>182915.07</v>
      </c>
      <c r="Y237" s="47">
        <f t="shared" si="376"/>
        <v>3147.4199999999837</v>
      </c>
      <c r="Z237" s="48">
        <f t="shared" ref="Z237:AL237" si="459">Z238</f>
        <v>203951</v>
      </c>
      <c r="AA237" s="48">
        <f t="shared" si="459"/>
        <v>33651</v>
      </c>
      <c r="AB237" s="48">
        <f t="shared" si="459"/>
        <v>7183.3499999999858</v>
      </c>
      <c r="AC237" s="48">
        <f t="shared" si="459"/>
        <v>0</v>
      </c>
      <c r="AD237" s="48">
        <f t="shared" si="459"/>
        <v>0</v>
      </c>
      <c r="AE237" s="48">
        <f t="shared" si="459"/>
        <v>0</v>
      </c>
      <c r="AF237" s="48">
        <f t="shared" si="459"/>
        <v>0</v>
      </c>
      <c r="AG237" s="48">
        <f t="shared" si="459"/>
        <v>0</v>
      </c>
      <c r="AH237" s="48">
        <f t="shared" si="459"/>
        <v>203951.09666666668</v>
      </c>
      <c r="AI237" s="48">
        <f t="shared" si="459"/>
        <v>199982.28</v>
      </c>
      <c r="AJ237" s="48">
        <f t="shared" si="459"/>
        <v>9.6666666668170365E-2</v>
      </c>
      <c r="AK237" s="49">
        <f t="shared" si="459"/>
        <v>199982.31999999998</v>
      </c>
      <c r="AL237" s="48">
        <f t="shared" si="459"/>
        <v>197031.31999999998</v>
      </c>
      <c r="AM237" s="74">
        <f t="shared" si="379"/>
        <v>-2950.960000000021</v>
      </c>
      <c r="AN237" s="94">
        <f t="shared" si="380"/>
        <v>-6919.6800000000221</v>
      </c>
      <c r="AO237" s="95">
        <f t="shared" si="381"/>
        <v>-3968.7200000000012</v>
      </c>
      <c r="AQ237" s="48"/>
      <c r="AR237" s="48"/>
      <c r="AS237" s="48"/>
      <c r="AT237" s="49">
        <f t="shared" ref="AT237:BP237" si="460">AT238</f>
        <v>178396.41</v>
      </c>
      <c r="AU237" s="48">
        <f t="shared" si="460"/>
        <v>191811.03</v>
      </c>
      <c r="AV237" s="48">
        <f t="shared" si="460"/>
        <v>181900</v>
      </c>
      <c r="AW237" s="48">
        <f t="shared" si="460"/>
        <v>-22051</v>
      </c>
      <c r="AX237" s="48">
        <f t="shared" si="460"/>
        <v>-25554.590000000004</v>
      </c>
      <c r="AY237" s="48">
        <f t="shared" si="460"/>
        <v>-18634.909999999996</v>
      </c>
      <c r="AZ237" s="48">
        <f t="shared" si="460"/>
        <v>0</v>
      </c>
      <c r="BA237" s="48">
        <f t="shared" si="460"/>
        <v>2636.8</v>
      </c>
      <c r="BB237" s="48">
        <f t="shared" si="460"/>
        <v>0</v>
      </c>
      <c r="BC237" s="48">
        <f t="shared" si="460"/>
        <v>0</v>
      </c>
      <c r="BD237" s="48">
        <f t="shared" si="460"/>
        <v>0</v>
      </c>
      <c r="BE237" s="48">
        <f t="shared" si="460"/>
        <v>181900</v>
      </c>
      <c r="BF237" s="48">
        <f t="shared" si="460"/>
        <v>192781.09000000003</v>
      </c>
      <c r="BG237" s="48">
        <f t="shared" si="460"/>
        <v>0</v>
      </c>
      <c r="BH237" s="48">
        <f t="shared" si="460"/>
        <v>192781.09000000003</v>
      </c>
      <c r="BI237" s="48">
        <f t="shared" si="460"/>
        <v>10881.089999999997</v>
      </c>
      <c r="BJ237" s="48">
        <f t="shared" si="460"/>
        <v>970.06000000000131</v>
      </c>
      <c r="BK237" s="48">
        <f t="shared" si="460"/>
        <v>236268.77</v>
      </c>
      <c r="BL237" s="48">
        <f t="shared" si="460"/>
        <v>43487.68</v>
      </c>
      <c r="BM237" s="48">
        <f t="shared" si="460"/>
        <v>54368.77</v>
      </c>
      <c r="BN237" s="48">
        <f t="shared" si="460"/>
        <v>0</v>
      </c>
      <c r="BO237" s="48">
        <f t="shared" si="460"/>
        <v>0</v>
      </c>
      <c r="BP237" s="48">
        <f t="shared" si="460"/>
        <v>184319.03</v>
      </c>
      <c r="BQ237" s="32">
        <f t="shared" si="383"/>
        <v>-51949.739999999991</v>
      </c>
      <c r="BR237" s="32">
        <f t="shared" si="384"/>
        <v>2419.0299999999988</v>
      </c>
      <c r="BS237" s="32"/>
      <c r="BT237" s="32"/>
      <c r="BU237" s="33"/>
      <c r="BV237" s="34">
        <f t="shared" si="385"/>
        <v>10881.090000000026</v>
      </c>
      <c r="BY237" s="36"/>
      <c r="BZ237" s="36"/>
      <c r="CC237" s="37"/>
      <c r="CD237" s="48">
        <f>CD238</f>
        <v>191811.03</v>
      </c>
    </row>
    <row r="238" spans="1:82" s="63" customFormat="1" ht="18" customHeight="1" x14ac:dyDescent="0.25">
      <c r="A238" s="96" t="s">
        <v>58</v>
      </c>
      <c r="B238" s="97"/>
      <c r="C238" s="98"/>
      <c r="D238" s="103"/>
      <c r="E238" s="98" t="s">
        <v>646</v>
      </c>
      <c r="F238" s="105"/>
      <c r="G238" s="55">
        <v>202300</v>
      </c>
      <c r="H238" s="55">
        <v>175200</v>
      </c>
      <c r="I238" s="55">
        <f t="shared" ref="I238:Q238" si="461">SUM(I239:I248)</f>
        <v>170300</v>
      </c>
      <c r="J238" s="55">
        <f t="shared" si="461"/>
        <v>0</v>
      </c>
      <c r="K238" s="55">
        <f t="shared" si="461"/>
        <v>169407.13999999998</v>
      </c>
      <c r="L238" s="55">
        <f t="shared" si="461"/>
        <v>90528.42</v>
      </c>
      <c r="M238" s="55">
        <f t="shared" si="461"/>
        <v>81206</v>
      </c>
      <c r="N238" s="55">
        <f t="shared" si="461"/>
        <v>174612</v>
      </c>
      <c r="O238" s="55">
        <f t="shared" si="461"/>
        <v>182410</v>
      </c>
      <c r="P238" s="55">
        <f t="shared" si="461"/>
        <v>4312.0000000000036</v>
      </c>
      <c r="Q238" s="55">
        <f t="shared" si="461"/>
        <v>120153.86</v>
      </c>
      <c r="R238" s="55"/>
      <c r="S238" s="55">
        <f>SUM(S239:S248)</f>
        <v>179767.65000000002</v>
      </c>
      <c r="T238" s="55">
        <f t="shared" si="416"/>
        <v>9467.6500000000233</v>
      </c>
      <c r="U238" s="55">
        <f t="shared" si="417"/>
        <v>10360.510000000038</v>
      </c>
      <c r="V238" s="55">
        <f t="shared" si="418"/>
        <v>-2642.3499999999767</v>
      </c>
      <c r="W238" s="57"/>
      <c r="X238" s="55">
        <f>SUM(X239:X248)</f>
        <v>182915.07</v>
      </c>
      <c r="Y238" s="88">
        <f t="shared" si="376"/>
        <v>3147.4199999999837</v>
      </c>
      <c r="Z238" s="33">
        <f t="shared" ref="Z238:AL238" si="462">SUM(Z239:Z249)</f>
        <v>203951</v>
      </c>
      <c r="AA238" s="33">
        <f t="shared" si="462"/>
        <v>33651</v>
      </c>
      <c r="AB238" s="33">
        <f t="shared" si="462"/>
        <v>7183.3499999999858</v>
      </c>
      <c r="AC238" s="33">
        <f t="shared" si="462"/>
        <v>0</v>
      </c>
      <c r="AD238" s="33">
        <f t="shared" si="462"/>
        <v>0</v>
      </c>
      <c r="AE238" s="33">
        <f t="shared" si="462"/>
        <v>0</v>
      </c>
      <c r="AF238" s="33">
        <f t="shared" si="462"/>
        <v>0</v>
      </c>
      <c r="AG238" s="33">
        <f t="shared" si="462"/>
        <v>0</v>
      </c>
      <c r="AH238" s="33">
        <f t="shared" si="462"/>
        <v>203951.09666666668</v>
      </c>
      <c r="AI238" s="33">
        <f t="shared" si="462"/>
        <v>199982.28</v>
      </c>
      <c r="AJ238" s="33">
        <f t="shared" si="462"/>
        <v>9.6666666668170365E-2</v>
      </c>
      <c r="AK238" s="60">
        <f t="shared" si="462"/>
        <v>199982.31999999998</v>
      </c>
      <c r="AL238" s="33">
        <f t="shared" si="462"/>
        <v>197031.31999999998</v>
      </c>
      <c r="AM238" s="74">
        <f t="shared" si="379"/>
        <v>-2950.960000000021</v>
      </c>
      <c r="AN238" s="33">
        <f t="shared" si="380"/>
        <v>-6919.6800000000221</v>
      </c>
      <c r="AO238" s="75">
        <f t="shared" si="381"/>
        <v>-3968.7200000000012</v>
      </c>
      <c r="AQ238" s="33"/>
      <c r="AR238" s="33"/>
      <c r="AS238" s="33"/>
      <c r="AT238" s="60">
        <f t="shared" ref="AT238:BP238" si="463">SUM(AT239:AT249)</f>
        <v>178396.41</v>
      </c>
      <c r="AU238" s="33">
        <f t="shared" si="463"/>
        <v>191811.03</v>
      </c>
      <c r="AV238" s="33">
        <f t="shared" si="463"/>
        <v>181900</v>
      </c>
      <c r="AW238" s="33">
        <f t="shared" si="463"/>
        <v>-22051</v>
      </c>
      <c r="AX238" s="33">
        <f t="shared" si="463"/>
        <v>-25554.590000000004</v>
      </c>
      <c r="AY238" s="33">
        <f t="shared" si="463"/>
        <v>-18634.909999999996</v>
      </c>
      <c r="AZ238" s="33">
        <f t="shared" si="463"/>
        <v>0</v>
      </c>
      <c r="BA238" s="33">
        <f t="shared" si="463"/>
        <v>2636.8</v>
      </c>
      <c r="BB238" s="33">
        <f t="shared" si="463"/>
        <v>0</v>
      </c>
      <c r="BC238" s="33">
        <f t="shared" si="463"/>
        <v>0</v>
      </c>
      <c r="BD238" s="33">
        <f t="shared" si="463"/>
        <v>0</v>
      </c>
      <c r="BE238" s="33">
        <f t="shared" si="463"/>
        <v>181900</v>
      </c>
      <c r="BF238" s="33">
        <f t="shared" si="463"/>
        <v>192781.09000000003</v>
      </c>
      <c r="BG238" s="33">
        <f t="shared" si="463"/>
        <v>0</v>
      </c>
      <c r="BH238" s="33">
        <f t="shared" si="463"/>
        <v>192781.09000000003</v>
      </c>
      <c r="BI238" s="33">
        <f t="shared" si="463"/>
        <v>10881.089999999997</v>
      </c>
      <c r="BJ238" s="33">
        <f t="shared" si="463"/>
        <v>970.06000000000131</v>
      </c>
      <c r="BK238" s="33">
        <f t="shared" si="463"/>
        <v>236268.77</v>
      </c>
      <c r="BL238" s="33">
        <f t="shared" si="463"/>
        <v>43487.68</v>
      </c>
      <c r="BM238" s="33">
        <f t="shared" si="463"/>
        <v>54368.77</v>
      </c>
      <c r="BN238" s="33">
        <f t="shared" si="463"/>
        <v>0</v>
      </c>
      <c r="BO238" s="33">
        <f t="shared" si="463"/>
        <v>0</v>
      </c>
      <c r="BP238" s="33">
        <f t="shared" si="463"/>
        <v>184319.03</v>
      </c>
      <c r="BQ238" s="32">
        <f t="shared" si="383"/>
        <v>-51949.739999999991</v>
      </c>
      <c r="BR238" s="32">
        <f t="shared" si="384"/>
        <v>2419.0299999999988</v>
      </c>
      <c r="BS238" s="32"/>
      <c r="BT238" s="32"/>
      <c r="BU238" s="33"/>
      <c r="BV238" s="34">
        <f t="shared" si="385"/>
        <v>10881.090000000026</v>
      </c>
      <c r="BY238" s="64"/>
      <c r="BZ238" s="64"/>
      <c r="CC238" s="37"/>
      <c r="CD238" s="33">
        <f>SUM(CD239:CD249)</f>
        <v>191811.03</v>
      </c>
    </row>
    <row r="239" spans="1:82" s="77" customFormat="1" ht="18" customHeight="1" x14ac:dyDescent="0.25">
      <c r="A239" s="99" t="s">
        <v>58</v>
      </c>
      <c r="B239" s="100"/>
      <c r="C239" s="101"/>
      <c r="D239" s="93"/>
      <c r="E239" s="98"/>
      <c r="F239" s="121" t="s">
        <v>647</v>
      </c>
      <c r="G239" s="83">
        <v>7400</v>
      </c>
      <c r="H239" s="83">
        <v>7400</v>
      </c>
      <c r="I239" s="83">
        <v>7400</v>
      </c>
      <c r="J239" s="70" t="s">
        <v>648</v>
      </c>
      <c r="K239" s="83">
        <v>6736.75</v>
      </c>
      <c r="L239" s="83">
        <v>2654.25</v>
      </c>
      <c r="M239" s="83">
        <f>L239</f>
        <v>2654.25</v>
      </c>
      <c r="N239" s="83">
        <f>M239*2</f>
        <v>5308.5</v>
      </c>
      <c r="O239" s="83">
        <f>I239</f>
        <v>7400</v>
      </c>
      <c r="P239" s="83">
        <f t="shared" ref="P239:P248" si="464">N239-I239</f>
        <v>-2091.5</v>
      </c>
      <c r="Q239" s="83">
        <v>3367.4</v>
      </c>
      <c r="R239" s="83"/>
      <c r="S239" s="83">
        <v>4900</v>
      </c>
      <c r="T239" s="83">
        <f t="shared" si="416"/>
        <v>-2500</v>
      </c>
      <c r="U239" s="83">
        <f t="shared" si="417"/>
        <v>-1836.75</v>
      </c>
      <c r="V239" s="83">
        <f t="shared" si="418"/>
        <v>-2500</v>
      </c>
      <c r="W239" s="84"/>
      <c r="X239" s="83">
        <f>5243.4+33.45</f>
        <v>5276.8499999999995</v>
      </c>
      <c r="Y239" s="47">
        <f t="shared" si="376"/>
        <v>376.84999999999945</v>
      </c>
      <c r="Z239" s="85">
        <v>5277</v>
      </c>
      <c r="AA239" s="29">
        <f t="shared" ref="AA239:AA249" si="465">Z239-I239</f>
        <v>-2123</v>
      </c>
      <c r="AB239" s="29">
        <f t="shared" ref="AB239:AB248" si="466">Z239-S239</f>
        <v>377</v>
      </c>
      <c r="AC239" s="72"/>
      <c r="AD239" s="72"/>
      <c r="AE239" s="72"/>
      <c r="AF239" s="72"/>
      <c r="AG239" s="72"/>
      <c r="AH239" s="85">
        <f t="shared" ref="AH239:AH246" si="467">Z239</f>
        <v>5277</v>
      </c>
      <c r="AI239" s="85">
        <v>7016.5</v>
      </c>
      <c r="AJ239" s="85">
        <f t="shared" ref="AJ239:AJ249" si="468">AH239-Z239</f>
        <v>0</v>
      </c>
      <c r="AK239" s="86">
        <v>7016.5</v>
      </c>
      <c r="AL239" s="85">
        <v>7415.6</v>
      </c>
      <c r="AM239" s="74">
        <f t="shared" si="379"/>
        <v>399.10000000000036</v>
      </c>
      <c r="AN239" s="33">
        <f t="shared" si="380"/>
        <v>2138.6000000000004</v>
      </c>
      <c r="AO239" s="75">
        <f t="shared" si="381"/>
        <v>1739.5</v>
      </c>
      <c r="AQ239" s="85"/>
      <c r="AR239" s="85"/>
      <c r="AS239" s="85"/>
      <c r="AT239" s="86">
        <v>7016.5</v>
      </c>
      <c r="AU239" s="71">
        <v>7417.6</v>
      </c>
      <c r="AV239" s="71">
        <f t="shared" ref="AV239:AV244" si="469">CEILING(AT239,100)</f>
        <v>7100</v>
      </c>
      <c r="AW239" s="71">
        <f t="shared" ref="AW239:AW249" si="470">AV239-Z239</f>
        <v>1823</v>
      </c>
      <c r="AX239" s="76">
        <f t="shared" ref="AX239:AX249" si="471">AT239-Z239</f>
        <v>1739.5</v>
      </c>
      <c r="AY239" s="76">
        <f t="shared" ref="AY239:AY249" si="472">AT239-AL239</f>
        <v>-399.10000000000036</v>
      </c>
      <c r="BE239" s="71">
        <v>7100</v>
      </c>
      <c r="BF239" s="71">
        <f>AV239</f>
        <v>7100</v>
      </c>
      <c r="BG239" s="78">
        <f t="shared" ref="BG239:BG249" si="473">BE239-AV239</f>
        <v>0</v>
      </c>
      <c r="BH239" s="71">
        <f t="shared" ref="BH239:BH247" si="474">BF239</f>
        <v>7100</v>
      </c>
      <c r="BI239" s="33">
        <f t="shared" ref="BI239:BI249" si="475">BF239-AV239</f>
        <v>0</v>
      </c>
      <c r="BJ239" s="33">
        <f t="shared" ref="BJ239:BJ249" si="476">BF239-AU239</f>
        <v>-317.60000000000036</v>
      </c>
      <c r="BK239" s="71">
        <v>5832.3</v>
      </c>
      <c r="BL239" s="79">
        <f t="shared" ref="BL239:BL249" si="477">BK239-BH239</f>
        <v>-1267.6999999999998</v>
      </c>
      <c r="BM239" s="79">
        <f t="shared" ref="BM239:BM249" si="478">BK239-AV239</f>
        <v>-1267.6999999999998</v>
      </c>
      <c r="BN239" s="32"/>
      <c r="BO239" s="32"/>
      <c r="BP239" s="71">
        <v>5832.3</v>
      </c>
      <c r="BQ239" s="32">
        <f t="shared" si="383"/>
        <v>0</v>
      </c>
      <c r="BR239" s="32">
        <f t="shared" si="384"/>
        <v>-1267.6999999999998</v>
      </c>
      <c r="BS239" s="32"/>
      <c r="BT239" s="32"/>
      <c r="BU239" s="33"/>
      <c r="BV239" s="34">
        <f t="shared" si="385"/>
        <v>0</v>
      </c>
      <c r="BY239" s="82"/>
      <c r="BZ239" s="82"/>
      <c r="CC239" s="37"/>
      <c r="CD239" s="71">
        <v>7417.6</v>
      </c>
    </row>
    <row r="240" spans="1:82" s="77" customFormat="1" ht="18" customHeight="1" x14ac:dyDescent="0.25">
      <c r="A240" s="99" t="s">
        <v>58</v>
      </c>
      <c r="B240" s="100"/>
      <c r="C240" s="101"/>
      <c r="D240" s="93"/>
      <c r="E240" s="98"/>
      <c r="F240" s="121" t="s">
        <v>649</v>
      </c>
      <c r="G240" s="83">
        <v>15500</v>
      </c>
      <c r="H240" s="83">
        <v>15500</v>
      </c>
      <c r="I240" s="83">
        <v>15500</v>
      </c>
      <c r="J240" s="70" t="s">
        <v>650</v>
      </c>
      <c r="K240" s="83">
        <v>14156.96</v>
      </c>
      <c r="L240" s="83">
        <v>13275.45</v>
      </c>
      <c r="M240" s="83">
        <f>I240/2</f>
        <v>7750</v>
      </c>
      <c r="N240" s="83">
        <f>M240*2</f>
        <v>15500</v>
      </c>
      <c r="O240" s="83">
        <f>I240</f>
        <v>15500</v>
      </c>
      <c r="P240" s="83">
        <f t="shared" si="464"/>
        <v>0</v>
      </c>
      <c r="Q240" s="83">
        <v>16441.05</v>
      </c>
      <c r="R240" s="83"/>
      <c r="S240" s="83">
        <f>Q240-1231.15-168.04-3960.67-957.6+1503.2+200</f>
        <v>11826.789999999999</v>
      </c>
      <c r="T240" s="83">
        <f t="shared" si="416"/>
        <v>-3673.2100000000009</v>
      </c>
      <c r="U240" s="83">
        <f t="shared" si="417"/>
        <v>-2330.17</v>
      </c>
      <c r="V240" s="83">
        <f t="shared" si="418"/>
        <v>-3673.2100000000009</v>
      </c>
      <c r="W240" s="84"/>
      <c r="X240" s="83">
        <f>20760.05-5359.86+78+30+174</f>
        <v>15682.189999999999</v>
      </c>
      <c r="Y240" s="47">
        <f t="shared" si="376"/>
        <v>3855.3999999999996</v>
      </c>
      <c r="Z240" s="85">
        <v>16623</v>
      </c>
      <c r="AA240" s="29">
        <f t="shared" si="465"/>
        <v>1123</v>
      </c>
      <c r="AB240" s="29">
        <f t="shared" si="466"/>
        <v>4796.2100000000009</v>
      </c>
      <c r="AC240" s="72" t="s">
        <v>309</v>
      </c>
      <c r="AD240" s="72"/>
      <c r="AE240" s="72"/>
      <c r="AF240" s="72"/>
      <c r="AG240" s="72"/>
      <c r="AH240" s="85">
        <f t="shared" si="467"/>
        <v>16623</v>
      </c>
      <c r="AI240" s="85">
        <f>Z240</f>
        <v>16623</v>
      </c>
      <c r="AJ240" s="85">
        <f t="shared" si="468"/>
        <v>0</v>
      </c>
      <c r="AK240" s="86">
        <v>16623</v>
      </c>
      <c r="AL240" s="85">
        <f>26372.72-11847.54+100</f>
        <v>14625.18</v>
      </c>
      <c r="AM240" s="74">
        <f t="shared" si="379"/>
        <v>-1997.8199999999997</v>
      </c>
      <c r="AN240" s="33">
        <f t="shared" si="380"/>
        <v>-1997.8199999999997</v>
      </c>
      <c r="AO240" s="75">
        <f t="shared" si="381"/>
        <v>0</v>
      </c>
      <c r="AQ240" s="85" t="s">
        <v>651</v>
      </c>
      <c r="AR240" s="85" t="s">
        <v>652</v>
      </c>
      <c r="AS240" s="85" t="s">
        <v>651</v>
      </c>
      <c r="AT240" s="86">
        <v>20000</v>
      </c>
      <c r="AU240" s="71">
        <v>14861.15</v>
      </c>
      <c r="AV240" s="71">
        <f t="shared" si="469"/>
        <v>20000</v>
      </c>
      <c r="AW240" s="71">
        <f t="shared" si="470"/>
        <v>3377</v>
      </c>
      <c r="AX240" s="76">
        <f t="shared" si="471"/>
        <v>3377</v>
      </c>
      <c r="AY240" s="76">
        <f t="shared" si="472"/>
        <v>5374.82</v>
      </c>
      <c r="BE240" s="71">
        <v>20000</v>
      </c>
      <c r="BF240" s="71">
        <f>AV240</f>
        <v>20000</v>
      </c>
      <c r="BG240" s="78">
        <f t="shared" si="473"/>
        <v>0</v>
      </c>
      <c r="BH240" s="71">
        <f t="shared" si="474"/>
        <v>20000</v>
      </c>
      <c r="BI240" s="33">
        <f t="shared" si="475"/>
        <v>0</v>
      </c>
      <c r="BJ240" s="33">
        <f t="shared" si="476"/>
        <v>5138.8500000000004</v>
      </c>
      <c r="BK240" s="71">
        <f>BH240</f>
        <v>20000</v>
      </c>
      <c r="BL240" s="79">
        <f t="shared" si="477"/>
        <v>0</v>
      </c>
      <c r="BM240" s="79">
        <f t="shared" si="478"/>
        <v>0</v>
      </c>
      <c r="BN240" s="32"/>
      <c r="BO240" s="87" t="s">
        <v>271</v>
      </c>
      <c r="BP240" s="71">
        <v>17699.830000000002</v>
      </c>
      <c r="BQ240" s="32">
        <f t="shared" si="383"/>
        <v>-2300.1699999999983</v>
      </c>
      <c r="BR240" s="32">
        <f t="shared" si="384"/>
        <v>-2300.1699999999983</v>
      </c>
      <c r="BS240" s="32"/>
      <c r="BT240" s="32"/>
      <c r="BU240" s="33"/>
      <c r="BV240" s="34">
        <f t="shared" si="385"/>
        <v>0</v>
      </c>
      <c r="BY240" s="82"/>
      <c r="BZ240" s="82"/>
      <c r="CC240" s="37"/>
      <c r="CD240" s="71">
        <v>14861.15</v>
      </c>
    </row>
    <row r="241" spans="1:83" s="77" customFormat="1" ht="18" customHeight="1" x14ac:dyDescent="0.25">
      <c r="A241" s="99" t="s">
        <v>58</v>
      </c>
      <c r="B241" s="100"/>
      <c r="C241" s="101"/>
      <c r="D241" s="93"/>
      <c r="E241" s="98"/>
      <c r="F241" s="121" t="s">
        <v>653</v>
      </c>
      <c r="G241" s="83">
        <v>3900</v>
      </c>
      <c r="H241" s="83">
        <v>3900</v>
      </c>
      <c r="I241" s="83">
        <v>4000</v>
      </c>
      <c r="J241" s="70" t="s">
        <v>654</v>
      </c>
      <c r="K241" s="83">
        <v>3006.94</v>
      </c>
      <c r="L241" s="83">
        <v>544</v>
      </c>
      <c r="M241" s="83">
        <f>I241/2</f>
        <v>2000</v>
      </c>
      <c r="N241" s="83">
        <f>M241*2</f>
        <v>4000</v>
      </c>
      <c r="O241" s="83">
        <f>I241</f>
        <v>4000</v>
      </c>
      <c r="P241" s="83">
        <f t="shared" si="464"/>
        <v>0</v>
      </c>
      <c r="Q241" s="83">
        <v>3018.28</v>
      </c>
      <c r="R241" s="83"/>
      <c r="S241" s="83">
        <v>4000</v>
      </c>
      <c r="T241" s="83">
        <f t="shared" si="416"/>
        <v>0</v>
      </c>
      <c r="U241" s="83">
        <f t="shared" si="417"/>
        <v>993.06</v>
      </c>
      <c r="V241" s="83">
        <f t="shared" si="418"/>
        <v>0</v>
      </c>
      <c r="W241" s="84"/>
      <c r="X241" s="83">
        <f>3272.28+87</f>
        <v>3359.28</v>
      </c>
      <c r="Y241" s="47">
        <f t="shared" si="376"/>
        <v>-640.7199999999998</v>
      </c>
      <c r="Z241" s="85">
        <v>4000</v>
      </c>
      <c r="AA241" s="29">
        <f t="shared" si="465"/>
        <v>0</v>
      </c>
      <c r="AB241" s="29">
        <f t="shared" si="466"/>
        <v>0</v>
      </c>
      <c r="AC241" s="72"/>
      <c r="AD241" s="72"/>
      <c r="AE241" s="72"/>
      <c r="AF241" s="72"/>
      <c r="AG241" s="72"/>
      <c r="AH241" s="85">
        <f t="shared" si="467"/>
        <v>4000</v>
      </c>
      <c r="AI241" s="85">
        <f>Z241</f>
        <v>4000</v>
      </c>
      <c r="AJ241" s="85">
        <f t="shared" si="468"/>
        <v>0</v>
      </c>
      <c r="AK241" s="86">
        <v>4000</v>
      </c>
      <c r="AL241" s="85">
        <v>3530.46</v>
      </c>
      <c r="AM241" s="74">
        <f t="shared" si="379"/>
        <v>-469.53999999999996</v>
      </c>
      <c r="AN241" s="33">
        <f t="shared" si="380"/>
        <v>-469.53999999999996</v>
      </c>
      <c r="AO241" s="75">
        <f t="shared" si="381"/>
        <v>0</v>
      </c>
      <c r="AQ241" s="85"/>
      <c r="AR241" s="85"/>
      <c r="AS241" s="85"/>
      <c r="AT241" s="86">
        <v>4594.8</v>
      </c>
      <c r="AU241" s="71">
        <v>3559.46</v>
      </c>
      <c r="AV241" s="71">
        <f t="shared" si="469"/>
        <v>4600</v>
      </c>
      <c r="AW241" s="71">
        <f t="shared" si="470"/>
        <v>600</v>
      </c>
      <c r="AX241" s="76">
        <f t="shared" si="471"/>
        <v>594.80000000000018</v>
      </c>
      <c r="AY241" s="76">
        <f t="shared" si="472"/>
        <v>1064.3400000000001</v>
      </c>
      <c r="BE241" s="71">
        <v>4600</v>
      </c>
      <c r="BF241" s="71">
        <f>AV241</f>
        <v>4600</v>
      </c>
      <c r="BG241" s="78">
        <f t="shared" si="473"/>
        <v>0</v>
      </c>
      <c r="BH241" s="71">
        <f t="shared" si="474"/>
        <v>4600</v>
      </c>
      <c r="BI241" s="33">
        <f t="shared" si="475"/>
        <v>0</v>
      </c>
      <c r="BJ241" s="33">
        <f t="shared" si="476"/>
        <v>1040.54</v>
      </c>
      <c r="BK241" s="71">
        <v>4120.32</v>
      </c>
      <c r="BL241" s="79">
        <f t="shared" si="477"/>
        <v>-479.68000000000029</v>
      </c>
      <c r="BM241" s="79">
        <f t="shared" si="478"/>
        <v>-479.68000000000029</v>
      </c>
      <c r="BN241" s="32"/>
      <c r="BO241" s="32"/>
      <c r="BP241" s="71">
        <v>4120.32</v>
      </c>
      <c r="BQ241" s="32">
        <f t="shared" si="383"/>
        <v>0</v>
      </c>
      <c r="BR241" s="32">
        <f t="shared" si="384"/>
        <v>-479.68000000000029</v>
      </c>
      <c r="BS241" s="32"/>
      <c r="BT241" s="32"/>
      <c r="BU241" s="33"/>
      <c r="BV241" s="34">
        <f t="shared" si="385"/>
        <v>0</v>
      </c>
      <c r="BY241" s="82"/>
      <c r="BZ241" s="82"/>
      <c r="CC241" s="37"/>
      <c r="CD241" s="71">
        <v>3559.46</v>
      </c>
    </row>
    <row r="242" spans="1:83" s="77" customFormat="1" ht="18" customHeight="1" x14ac:dyDescent="0.25">
      <c r="A242" s="99" t="s">
        <v>58</v>
      </c>
      <c r="B242" s="100"/>
      <c r="C242" s="101"/>
      <c r="D242" s="93"/>
      <c r="E242" s="98"/>
      <c r="F242" s="121" t="s">
        <v>655</v>
      </c>
      <c r="G242" s="84">
        <v>42000</v>
      </c>
      <c r="H242" s="84">
        <v>21000</v>
      </c>
      <c r="I242" s="84">
        <v>30000</v>
      </c>
      <c r="J242" s="70" t="s">
        <v>656</v>
      </c>
      <c r="K242" s="84">
        <v>19126.47</v>
      </c>
      <c r="L242" s="84">
        <v>8417.9699999999993</v>
      </c>
      <c r="M242" s="83">
        <f>I242/2</f>
        <v>15000</v>
      </c>
      <c r="N242" s="84">
        <f>M242*2</f>
        <v>30000</v>
      </c>
      <c r="O242" s="84">
        <f>I242</f>
        <v>30000</v>
      </c>
      <c r="P242" s="84">
        <f t="shared" si="464"/>
        <v>0</v>
      </c>
      <c r="Q242" s="84">
        <v>11843.6</v>
      </c>
      <c r="R242" s="84"/>
      <c r="S242" s="83">
        <f>173577.91+1446.18+Q242-152036.83</f>
        <v>34830.860000000015</v>
      </c>
      <c r="T242" s="84">
        <f t="shared" si="416"/>
        <v>4830.8600000000151</v>
      </c>
      <c r="U242" s="84">
        <f t="shared" si="417"/>
        <v>15704.390000000014</v>
      </c>
      <c r="V242" s="84">
        <f t="shared" si="418"/>
        <v>4830.8600000000151</v>
      </c>
      <c r="W242" s="84"/>
      <c r="X242" s="83">
        <v>36000</v>
      </c>
      <c r="Y242" s="47">
        <f t="shared" si="376"/>
        <v>1169.1399999999849</v>
      </c>
      <c r="Z242" s="85">
        <v>30000</v>
      </c>
      <c r="AA242" s="29">
        <f t="shared" si="465"/>
        <v>0</v>
      </c>
      <c r="AB242" s="29">
        <f t="shared" si="466"/>
        <v>-4830.8600000000151</v>
      </c>
      <c r="AC242" s="72" t="s">
        <v>657</v>
      </c>
      <c r="AD242" s="72"/>
      <c r="AE242" s="72"/>
      <c r="AF242" s="72"/>
      <c r="AG242" s="72"/>
      <c r="AH242" s="85">
        <f t="shared" si="467"/>
        <v>30000</v>
      </c>
      <c r="AI242" s="85">
        <v>15000</v>
      </c>
      <c r="AJ242" s="85">
        <f t="shared" si="468"/>
        <v>0</v>
      </c>
      <c r="AK242" s="86">
        <v>15000</v>
      </c>
      <c r="AL242" s="85">
        <v>15000</v>
      </c>
      <c r="AM242" s="74">
        <f t="shared" si="379"/>
        <v>0</v>
      </c>
      <c r="AN242" s="33">
        <f t="shared" si="380"/>
        <v>-15000</v>
      </c>
      <c r="AO242" s="75">
        <f t="shared" si="381"/>
        <v>-15000</v>
      </c>
      <c r="AQ242" s="85"/>
      <c r="AR242" s="85"/>
      <c r="AS242" s="85"/>
      <c r="AT242" s="86">
        <f>Z242</f>
        <v>30000</v>
      </c>
      <c r="AU242" s="71">
        <v>10606.89</v>
      </c>
      <c r="AV242" s="71">
        <f t="shared" si="469"/>
        <v>30000</v>
      </c>
      <c r="AW242" s="71">
        <f t="shared" si="470"/>
        <v>0</v>
      </c>
      <c r="AX242" s="76">
        <f t="shared" si="471"/>
        <v>0</v>
      </c>
      <c r="AY242" s="76">
        <f t="shared" si="472"/>
        <v>15000</v>
      </c>
      <c r="BE242" s="71">
        <v>30000</v>
      </c>
      <c r="BF242" s="71">
        <f>AV242</f>
        <v>30000</v>
      </c>
      <c r="BG242" s="78">
        <f t="shared" si="473"/>
        <v>0</v>
      </c>
      <c r="BH242" s="71">
        <f t="shared" si="474"/>
        <v>30000</v>
      </c>
      <c r="BI242" s="33">
        <f t="shared" si="475"/>
        <v>0</v>
      </c>
      <c r="BJ242" s="33">
        <f t="shared" si="476"/>
        <v>19393.11</v>
      </c>
      <c r="BK242" s="71">
        <v>73600</v>
      </c>
      <c r="BL242" s="79">
        <f t="shared" si="477"/>
        <v>43600</v>
      </c>
      <c r="BM242" s="79">
        <f t="shared" si="478"/>
        <v>43600</v>
      </c>
      <c r="BN242" s="32"/>
      <c r="BO242" s="32"/>
      <c r="BP242" s="71">
        <v>23930.85</v>
      </c>
      <c r="BQ242" s="32">
        <f t="shared" si="383"/>
        <v>-49669.15</v>
      </c>
      <c r="BR242" s="32">
        <f t="shared" si="384"/>
        <v>-6069.1500000000015</v>
      </c>
      <c r="BS242" s="32"/>
      <c r="BT242" s="32"/>
      <c r="BU242" s="33"/>
      <c r="BV242" s="34">
        <f t="shared" si="385"/>
        <v>0</v>
      </c>
      <c r="BY242" s="82"/>
      <c r="BZ242" s="82"/>
      <c r="CC242" s="37"/>
      <c r="CD242" s="71">
        <v>10606.89</v>
      </c>
    </row>
    <row r="243" spans="1:83" s="77" customFormat="1" ht="18" customHeight="1" x14ac:dyDescent="0.25">
      <c r="A243" s="99" t="s">
        <v>58</v>
      </c>
      <c r="B243" s="100"/>
      <c r="C243" s="101"/>
      <c r="D243" s="93"/>
      <c r="E243" s="98"/>
      <c r="F243" s="121" t="s">
        <v>658</v>
      </c>
      <c r="G243" s="84">
        <v>3500</v>
      </c>
      <c r="H243" s="84">
        <v>1700</v>
      </c>
      <c r="I243" s="84">
        <v>3500</v>
      </c>
      <c r="J243" s="70" t="s">
        <v>659</v>
      </c>
      <c r="K243" s="84">
        <v>1107.9000000000001</v>
      </c>
      <c r="L243" s="84">
        <v>738.74</v>
      </c>
      <c r="M243" s="83">
        <f>L243</f>
        <v>738.74</v>
      </c>
      <c r="N243" s="84">
        <f>M243*2</f>
        <v>1477.48</v>
      </c>
      <c r="O243" s="84">
        <f>I243</f>
        <v>3500</v>
      </c>
      <c r="P243" s="84">
        <f t="shared" si="464"/>
        <v>-2022.52</v>
      </c>
      <c r="Q243" s="84">
        <v>1104.69</v>
      </c>
      <c r="R243" s="84"/>
      <c r="S243" s="83">
        <f>2200</f>
        <v>2200</v>
      </c>
      <c r="T243" s="84">
        <f t="shared" si="416"/>
        <v>-1300</v>
      </c>
      <c r="U243" s="84">
        <f t="shared" si="417"/>
        <v>1092.0999999999999</v>
      </c>
      <c r="V243" s="84">
        <f t="shared" si="418"/>
        <v>-1300</v>
      </c>
      <c r="W243" s="84"/>
      <c r="X243" s="83">
        <f>1259.23+227.87+136.2+300</f>
        <v>1923.3</v>
      </c>
      <c r="Y243" s="47">
        <f t="shared" si="376"/>
        <v>-276.70000000000005</v>
      </c>
      <c r="Z243" s="85">
        <v>2500</v>
      </c>
      <c r="AA243" s="29">
        <f t="shared" si="465"/>
        <v>-1000</v>
      </c>
      <c r="AB243" s="29">
        <f t="shared" si="466"/>
        <v>300</v>
      </c>
      <c r="AC243" s="72"/>
      <c r="AD243" s="72"/>
      <c r="AE243" s="72"/>
      <c r="AF243" s="72"/>
      <c r="AG243" s="72"/>
      <c r="AH243" s="85">
        <f t="shared" si="467"/>
        <v>2500</v>
      </c>
      <c r="AI243" s="85">
        <v>1580</v>
      </c>
      <c r="AJ243" s="85">
        <f t="shared" si="468"/>
        <v>0</v>
      </c>
      <c r="AK243" s="86">
        <v>1580</v>
      </c>
      <c r="AL243" s="85">
        <v>2500</v>
      </c>
      <c r="AM243" s="74">
        <f t="shared" si="379"/>
        <v>920</v>
      </c>
      <c r="AN243" s="33">
        <f t="shared" si="380"/>
        <v>0</v>
      </c>
      <c r="AO243" s="75">
        <f t="shared" si="381"/>
        <v>-920</v>
      </c>
      <c r="AQ243" s="85"/>
      <c r="AR243" s="85"/>
      <c r="AS243" s="85"/>
      <c r="AT243" s="86">
        <v>2500</v>
      </c>
      <c r="AU243" s="71">
        <v>2260.71</v>
      </c>
      <c r="AV243" s="71">
        <f t="shared" si="469"/>
        <v>2500</v>
      </c>
      <c r="AW243" s="71">
        <f t="shared" si="470"/>
        <v>0</v>
      </c>
      <c r="AX243" s="76">
        <f t="shared" si="471"/>
        <v>0</v>
      </c>
      <c r="AY243" s="76">
        <f t="shared" si="472"/>
        <v>0</v>
      </c>
      <c r="BE243" s="71">
        <v>2500</v>
      </c>
      <c r="BF243" s="71">
        <f>AV243</f>
        <v>2500</v>
      </c>
      <c r="BG243" s="78">
        <f t="shared" si="473"/>
        <v>0</v>
      </c>
      <c r="BH243" s="71">
        <f t="shared" si="474"/>
        <v>2500</v>
      </c>
      <c r="BI243" s="33">
        <f t="shared" si="475"/>
        <v>0</v>
      </c>
      <c r="BJ243" s="33">
        <f t="shared" si="476"/>
        <v>239.28999999999996</v>
      </c>
      <c r="BK243" s="71">
        <v>2633.37</v>
      </c>
      <c r="BL243" s="79">
        <f t="shared" si="477"/>
        <v>133.36999999999989</v>
      </c>
      <c r="BM243" s="79">
        <f t="shared" si="478"/>
        <v>133.36999999999989</v>
      </c>
      <c r="BN243" s="32"/>
      <c r="BO243" s="32"/>
      <c r="BP243" s="71">
        <f>2503.37+149.58</f>
        <v>2652.95</v>
      </c>
      <c r="BQ243" s="32">
        <f t="shared" si="383"/>
        <v>19.579999999999927</v>
      </c>
      <c r="BR243" s="32">
        <f t="shared" si="384"/>
        <v>152.94999999999982</v>
      </c>
      <c r="BS243" s="32"/>
      <c r="BT243" s="32"/>
      <c r="BU243" s="33"/>
      <c r="BV243" s="34">
        <f t="shared" si="385"/>
        <v>0</v>
      </c>
      <c r="BY243" s="82"/>
      <c r="BZ243" s="82"/>
      <c r="CC243" s="37"/>
      <c r="CD243" s="71">
        <v>2260.71</v>
      </c>
    </row>
    <row r="244" spans="1:83" s="77" customFormat="1" ht="18" hidden="1" customHeight="1" x14ac:dyDescent="0.25">
      <c r="A244" s="99" t="s">
        <v>58</v>
      </c>
      <c r="B244" s="100"/>
      <c r="C244" s="101"/>
      <c r="D244" s="93"/>
      <c r="E244" s="98"/>
      <c r="F244" s="121" t="s">
        <v>660</v>
      </c>
      <c r="G244" s="106">
        <v>0</v>
      </c>
      <c r="H244" s="106"/>
      <c r="I244" s="106">
        <v>0</v>
      </c>
      <c r="J244" s="70"/>
      <c r="K244" s="106">
        <v>0</v>
      </c>
      <c r="L244" s="106"/>
      <c r="M244" s="106">
        <f>L244</f>
        <v>0</v>
      </c>
      <c r="N244" s="106"/>
      <c r="O244" s="106"/>
      <c r="P244" s="106">
        <f t="shared" si="464"/>
        <v>0</v>
      </c>
      <c r="Q244" s="106"/>
      <c r="R244" s="106"/>
      <c r="S244" s="106"/>
      <c r="T244" s="106">
        <f t="shared" si="416"/>
        <v>0</v>
      </c>
      <c r="U244" s="107">
        <f t="shared" si="417"/>
        <v>0</v>
      </c>
      <c r="V244" s="106">
        <f t="shared" si="418"/>
        <v>0</v>
      </c>
      <c r="W244" s="108"/>
      <c r="X244" s="109"/>
      <c r="Y244" s="24">
        <f t="shared" si="376"/>
        <v>0</v>
      </c>
      <c r="Z244" s="85">
        <f>S244</f>
        <v>0</v>
      </c>
      <c r="AA244" s="29">
        <f t="shared" si="465"/>
        <v>0</v>
      </c>
      <c r="AB244" s="29">
        <f t="shared" si="466"/>
        <v>0</v>
      </c>
      <c r="AC244" s="72"/>
      <c r="AD244" s="72"/>
      <c r="AE244" s="72"/>
      <c r="AF244" s="72"/>
      <c r="AG244" s="72"/>
      <c r="AH244" s="85">
        <f t="shared" si="467"/>
        <v>0</v>
      </c>
      <c r="AI244" s="85"/>
      <c r="AJ244" s="85">
        <f t="shared" si="468"/>
        <v>0</v>
      </c>
      <c r="AK244" s="86"/>
      <c r="AL244" s="133"/>
      <c r="AM244" s="27">
        <f t="shared" si="379"/>
        <v>0</v>
      </c>
      <c r="AN244" s="61">
        <f t="shared" si="380"/>
        <v>0</v>
      </c>
      <c r="AO244" s="62">
        <f t="shared" si="381"/>
        <v>0</v>
      </c>
      <c r="AQ244" s="85"/>
      <c r="AR244" s="85"/>
      <c r="AS244" s="85"/>
      <c r="AT244" s="86"/>
      <c r="AU244" s="71">
        <f>CEILING(BD244,100)</f>
        <v>0</v>
      </c>
      <c r="AV244" s="71">
        <f t="shared" si="469"/>
        <v>0</v>
      </c>
      <c r="AW244" s="71">
        <f t="shared" si="470"/>
        <v>0</v>
      </c>
      <c r="AX244" s="76">
        <f t="shared" si="471"/>
        <v>0</v>
      </c>
      <c r="AY244" s="76">
        <f t="shared" si="472"/>
        <v>0</v>
      </c>
      <c r="BE244" s="71">
        <v>0</v>
      </c>
      <c r="BF244" s="71"/>
      <c r="BG244" s="78">
        <f t="shared" si="473"/>
        <v>0</v>
      </c>
      <c r="BH244" s="71">
        <f t="shared" si="474"/>
        <v>0</v>
      </c>
      <c r="BI244" s="33">
        <f t="shared" si="475"/>
        <v>0</v>
      </c>
      <c r="BJ244" s="33">
        <f t="shared" si="476"/>
        <v>0</v>
      </c>
      <c r="BK244" s="71">
        <f>BH244</f>
        <v>0</v>
      </c>
      <c r="BL244" s="79">
        <f t="shared" si="477"/>
        <v>0</v>
      </c>
      <c r="BM244" s="79">
        <f t="shared" si="478"/>
        <v>0</v>
      </c>
      <c r="BN244" s="32"/>
      <c r="BO244" s="32"/>
      <c r="BP244" s="71"/>
      <c r="BQ244" s="32">
        <f t="shared" si="383"/>
        <v>0</v>
      </c>
      <c r="BR244" s="32">
        <f t="shared" si="384"/>
        <v>0</v>
      </c>
      <c r="BS244" s="32"/>
      <c r="BT244" s="32"/>
      <c r="BU244" s="33"/>
      <c r="BV244" s="34">
        <f t="shared" si="385"/>
        <v>0</v>
      </c>
      <c r="BY244" s="82"/>
      <c r="BZ244" s="82"/>
      <c r="CC244" s="37"/>
      <c r="CD244" s="71"/>
    </row>
    <row r="245" spans="1:83" s="77" customFormat="1" ht="18" customHeight="1" x14ac:dyDescent="0.25">
      <c r="A245" s="99" t="s">
        <v>58</v>
      </c>
      <c r="B245" s="100"/>
      <c r="C245" s="101"/>
      <c r="D245" s="93"/>
      <c r="E245" s="98"/>
      <c r="F245" s="121" t="s">
        <v>661</v>
      </c>
      <c r="G245" s="83">
        <v>84000</v>
      </c>
      <c r="H245" s="83">
        <v>81000</v>
      </c>
      <c r="I245" s="83">
        <v>81000</v>
      </c>
      <c r="J245" s="70" t="s">
        <v>662</v>
      </c>
      <c r="K245" s="83">
        <v>79814.41</v>
      </c>
      <c r="L245" s="83">
        <v>38658.01</v>
      </c>
      <c r="M245" s="83">
        <f>L245</f>
        <v>38658.01</v>
      </c>
      <c r="N245" s="83">
        <f>M245*2</f>
        <v>77316.02</v>
      </c>
      <c r="O245" s="83">
        <f>I245</f>
        <v>81000</v>
      </c>
      <c r="P245" s="83">
        <f t="shared" si="464"/>
        <v>-3683.9799999999959</v>
      </c>
      <c r="Q245" s="83">
        <v>57231.3</v>
      </c>
      <c r="R245" s="83"/>
      <c r="S245" s="83">
        <f>O245</f>
        <v>81000</v>
      </c>
      <c r="T245" s="83">
        <f t="shared" si="416"/>
        <v>0</v>
      </c>
      <c r="U245" s="83">
        <f t="shared" si="417"/>
        <v>1185.5899999999965</v>
      </c>
      <c r="V245" s="83">
        <f t="shared" si="418"/>
        <v>0</v>
      </c>
      <c r="W245" s="84"/>
      <c r="X245" s="83">
        <f>62914.41+533.18+1101.3+9860.84+5331.72</f>
        <v>79741.450000000012</v>
      </c>
      <c r="Y245" s="47">
        <f t="shared" si="376"/>
        <v>-1258.5499999999884</v>
      </c>
      <c r="Z245" s="85">
        <v>85373</v>
      </c>
      <c r="AA245" s="29">
        <f t="shared" si="465"/>
        <v>4373</v>
      </c>
      <c r="AB245" s="29">
        <f t="shared" si="466"/>
        <v>4373</v>
      </c>
      <c r="AC245" s="72"/>
      <c r="AD245" s="72"/>
      <c r="AE245" s="72"/>
      <c r="AF245" s="72"/>
      <c r="AG245" s="72"/>
      <c r="AH245" s="85">
        <f t="shared" si="467"/>
        <v>85373</v>
      </c>
      <c r="AI245" s="85">
        <f>Z245</f>
        <v>85373</v>
      </c>
      <c r="AJ245" s="85">
        <f t="shared" si="468"/>
        <v>0</v>
      </c>
      <c r="AK245" s="86">
        <v>85373</v>
      </c>
      <c r="AL245" s="85">
        <v>85156.18</v>
      </c>
      <c r="AM245" s="74">
        <f t="shared" si="379"/>
        <v>-216.82000000000698</v>
      </c>
      <c r="AN245" s="33">
        <f t="shared" si="380"/>
        <v>-216.82000000000698</v>
      </c>
      <c r="AO245" s="75">
        <f t="shared" si="381"/>
        <v>0</v>
      </c>
      <c r="AQ245" s="85"/>
      <c r="AR245" s="85"/>
      <c r="AS245" s="85"/>
      <c r="AT245" s="86">
        <f>78733.36+7873.31</f>
        <v>86606.67</v>
      </c>
      <c r="AU245" s="71">
        <v>85159.59</v>
      </c>
      <c r="AV245" s="71">
        <v>89900</v>
      </c>
      <c r="AW245" s="71">
        <f t="shared" si="470"/>
        <v>4527</v>
      </c>
      <c r="AX245" s="76">
        <f t="shared" si="471"/>
        <v>1233.6699999999983</v>
      </c>
      <c r="AY245" s="76">
        <f t="shared" si="472"/>
        <v>1450.4900000000052</v>
      </c>
      <c r="BE245" s="71">
        <v>89900</v>
      </c>
      <c r="BF245" s="71">
        <v>97721.45</v>
      </c>
      <c r="BG245" s="78">
        <f t="shared" si="473"/>
        <v>0</v>
      </c>
      <c r="BH245" s="71">
        <f t="shared" si="474"/>
        <v>97721.45</v>
      </c>
      <c r="BI245" s="33">
        <f t="shared" si="475"/>
        <v>7821.4499999999971</v>
      </c>
      <c r="BJ245" s="33">
        <f t="shared" si="476"/>
        <v>12561.86</v>
      </c>
      <c r="BK245" s="71">
        <v>98229.04</v>
      </c>
      <c r="BL245" s="79">
        <f t="shared" si="477"/>
        <v>507.58999999999651</v>
      </c>
      <c r="BM245" s="79">
        <f t="shared" si="478"/>
        <v>8329.0399999999936</v>
      </c>
      <c r="BN245" s="32"/>
      <c r="BO245" s="32"/>
      <c r="BP245" s="71">
        <v>98229.04</v>
      </c>
      <c r="BQ245" s="32">
        <f t="shared" si="383"/>
        <v>0</v>
      </c>
      <c r="BR245" s="32">
        <f t="shared" si="384"/>
        <v>8329.0399999999936</v>
      </c>
      <c r="BS245" s="32"/>
      <c r="BT245" s="32"/>
      <c r="BU245" s="33"/>
      <c r="BV245" s="34">
        <f t="shared" si="385"/>
        <v>7821.4499999999971</v>
      </c>
      <c r="BY245" s="82"/>
      <c r="BZ245" s="82"/>
      <c r="CC245" s="37"/>
      <c r="CD245" s="71">
        <v>85159.59</v>
      </c>
    </row>
    <row r="246" spans="1:83" s="77" customFormat="1" ht="18" customHeight="1" x14ac:dyDescent="0.25">
      <c r="A246" s="99" t="s">
        <v>58</v>
      </c>
      <c r="B246" s="100"/>
      <c r="C246" s="101"/>
      <c r="D246" s="93"/>
      <c r="E246" s="98"/>
      <c r="F246" s="121" t="s">
        <v>663</v>
      </c>
      <c r="G246" s="83">
        <v>700</v>
      </c>
      <c r="H246" s="83">
        <v>700</v>
      </c>
      <c r="I246" s="83">
        <v>700</v>
      </c>
      <c r="J246" s="70"/>
      <c r="K246" s="83">
        <v>671</v>
      </c>
      <c r="L246" s="83"/>
      <c r="M246" s="83">
        <v>305</v>
      </c>
      <c r="N246" s="83">
        <v>12810</v>
      </c>
      <c r="O246" s="83">
        <f>12200+610</f>
        <v>12810</v>
      </c>
      <c r="P246" s="83">
        <f t="shared" si="464"/>
        <v>12110</v>
      </c>
      <c r="Q246" s="83"/>
      <c r="R246" s="83"/>
      <c r="S246" s="83">
        <v>12810</v>
      </c>
      <c r="T246" s="83">
        <f t="shared" si="416"/>
        <v>12110</v>
      </c>
      <c r="U246" s="83">
        <f t="shared" si="417"/>
        <v>12139</v>
      </c>
      <c r="V246" s="83">
        <f t="shared" si="418"/>
        <v>0</v>
      </c>
      <c r="W246" s="84" t="s">
        <v>664</v>
      </c>
      <c r="X246" s="83">
        <f>12200+700</f>
        <v>12900</v>
      </c>
      <c r="Y246" s="47">
        <f t="shared" si="376"/>
        <v>90</v>
      </c>
      <c r="Z246" s="85">
        <v>15146</v>
      </c>
      <c r="AA246" s="29">
        <f t="shared" si="465"/>
        <v>14446</v>
      </c>
      <c r="AB246" s="29">
        <f t="shared" si="466"/>
        <v>2336</v>
      </c>
      <c r="AC246" s="191" t="s">
        <v>665</v>
      </c>
      <c r="AD246" s="72"/>
      <c r="AE246" s="72"/>
      <c r="AF246" s="72"/>
      <c r="AG246" s="72"/>
      <c r="AH246" s="85">
        <f t="shared" si="467"/>
        <v>15146</v>
      </c>
      <c r="AI246" s="85">
        <f>13074.36+671+2614.86+9308.6</f>
        <v>25668.82</v>
      </c>
      <c r="AJ246" s="85">
        <f t="shared" si="468"/>
        <v>0</v>
      </c>
      <c r="AK246" s="86">
        <v>25668.86</v>
      </c>
      <c r="AL246" s="85">
        <f>21894.98+(1551.44*2)+671+(2*(32*1.22))</f>
        <v>25746.940000000002</v>
      </c>
      <c r="AM246" s="74">
        <f t="shared" si="379"/>
        <v>78.120000000002619</v>
      </c>
      <c r="AN246" s="33">
        <f t="shared" si="380"/>
        <v>10600.940000000002</v>
      </c>
      <c r="AO246" s="75">
        <f t="shared" si="381"/>
        <v>10522.82</v>
      </c>
      <c r="AQ246" s="85" t="s">
        <v>666</v>
      </c>
      <c r="AR246" s="85" t="s">
        <v>666</v>
      </c>
      <c r="AS246" s="85" t="s">
        <v>666</v>
      </c>
      <c r="AT246" s="86">
        <v>0</v>
      </c>
      <c r="AU246" s="71">
        <v>24997.86</v>
      </c>
      <c r="AV246" s="71">
        <f>CEILING(AT246,100)</f>
        <v>0</v>
      </c>
      <c r="AW246" s="71">
        <f t="shared" si="470"/>
        <v>-15146</v>
      </c>
      <c r="AX246" s="76">
        <f t="shared" si="471"/>
        <v>-15146</v>
      </c>
      <c r="AY246" s="76">
        <f t="shared" si="472"/>
        <v>-25746.940000000002</v>
      </c>
      <c r="BE246" s="71">
        <v>0</v>
      </c>
      <c r="BF246" s="71">
        <v>0</v>
      </c>
      <c r="BG246" s="78">
        <f t="shared" si="473"/>
        <v>0</v>
      </c>
      <c r="BH246" s="71">
        <f t="shared" si="474"/>
        <v>0</v>
      </c>
      <c r="BI246" s="33">
        <f t="shared" si="475"/>
        <v>0</v>
      </c>
      <c r="BJ246" s="33">
        <f t="shared" si="476"/>
        <v>-24997.86</v>
      </c>
      <c r="BK246" s="71">
        <v>738.1</v>
      </c>
      <c r="BL246" s="79">
        <f t="shared" si="477"/>
        <v>738.1</v>
      </c>
      <c r="BM246" s="79">
        <f t="shared" si="478"/>
        <v>738.1</v>
      </c>
      <c r="BN246" s="32"/>
      <c r="BO246" s="87" t="s">
        <v>667</v>
      </c>
      <c r="BP246" s="71">
        <v>738.1</v>
      </c>
      <c r="BQ246" s="32">
        <f t="shared" si="383"/>
        <v>0</v>
      </c>
      <c r="BR246" s="32">
        <f t="shared" si="384"/>
        <v>738.1</v>
      </c>
      <c r="BS246" s="87" t="s">
        <v>667</v>
      </c>
      <c r="BT246" s="32"/>
      <c r="BU246" s="33"/>
      <c r="BV246" s="34">
        <f t="shared" si="385"/>
        <v>0</v>
      </c>
      <c r="BY246" s="82"/>
      <c r="BZ246" s="82"/>
      <c r="CC246" s="37"/>
      <c r="CD246" s="71">
        <v>24997.86</v>
      </c>
    </row>
    <row r="247" spans="1:83" s="77" customFormat="1" ht="18" customHeight="1" x14ac:dyDescent="0.25">
      <c r="A247" s="99"/>
      <c r="B247" s="100"/>
      <c r="C247" s="101"/>
      <c r="D247" s="93"/>
      <c r="E247" s="98"/>
      <c r="F247" s="121" t="s">
        <v>668</v>
      </c>
      <c r="G247" s="106">
        <v>27700</v>
      </c>
      <c r="H247" s="106">
        <v>25500</v>
      </c>
      <c r="I247" s="106">
        <v>28200</v>
      </c>
      <c r="J247" s="70" t="s">
        <v>669</v>
      </c>
      <c r="K247" s="106">
        <v>26368</v>
      </c>
      <c r="L247" s="106">
        <v>26240</v>
      </c>
      <c r="M247" s="106">
        <f>I247/2</f>
        <v>14100</v>
      </c>
      <c r="N247" s="106">
        <f>M247*2</f>
        <v>28200</v>
      </c>
      <c r="O247" s="106">
        <f>I247</f>
        <v>28200</v>
      </c>
      <c r="P247" s="106">
        <f t="shared" si="464"/>
        <v>0</v>
      </c>
      <c r="Q247" s="106">
        <v>26240</v>
      </c>
      <c r="R247" s="106"/>
      <c r="S247" s="106">
        <v>28200</v>
      </c>
      <c r="T247" s="106">
        <f t="shared" si="416"/>
        <v>0</v>
      </c>
      <c r="U247" s="107">
        <f t="shared" si="417"/>
        <v>1832</v>
      </c>
      <c r="V247" s="106">
        <f t="shared" si="418"/>
        <v>0</v>
      </c>
      <c r="W247" s="108"/>
      <c r="X247" s="109">
        <f>26240+(14*128)</f>
        <v>28032</v>
      </c>
      <c r="Y247" s="24">
        <f t="shared" si="376"/>
        <v>-168</v>
      </c>
      <c r="Z247" s="85">
        <v>28032</v>
      </c>
      <c r="AA247" s="29">
        <f t="shared" si="465"/>
        <v>-168</v>
      </c>
      <c r="AB247" s="29">
        <f t="shared" si="466"/>
        <v>-168</v>
      </c>
      <c r="AC247" s="72"/>
      <c r="AD247" s="72"/>
      <c r="AE247" s="72"/>
      <c r="AF247" s="72"/>
      <c r="AG247" s="72"/>
      <c r="AH247" s="85">
        <v>28032</v>
      </c>
      <c r="AI247" s="85">
        <f>Z247</f>
        <v>28032</v>
      </c>
      <c r="AJ247" s="85">
        <f t="shared" si="468"/>
        <v>0</v>
      </c>
      <c r="AK247" s="86">
        <v>28032</v>
      </c>
      <c r="AL247" s="123">
        <v>26368</v>
      </c>
      <c r="AM247" s="27">
        <f t="shared" si="379"/>
        <v>-1664</v>
      </c>
      <c r="AN247" s="61">
        <f t="shared" si="380"/>
        <v>-1664</v>
      </c>
      <c r="AO247" s="62">
        <f t="shared" si="381"/>
        <v>0</v>
      </c>
      <c r="AQ247" s="85"/>
      <c r="AR247" s="85"/>
      <c r="AS247" s="85"/>
      <c r="AT247" s="86">
        <v>26368</v>
      </c>
      <c r="AU247" s="71">
        <v>26368</v>
      </c>
      <c r="AV247" s="71">
        <f>CEILING(AT247,100)</f>
        <v>26400</v>
      </c>
      <c r="AW247" s="71">
        <f t="shared" si="470"/>
        <v>-1632</v>
      </c>
      <c r="AX247" s="76">
        <f t="shared" si="471"/>
        <v>-1664</v>
      </c>
      <c r="AY247" s="76">
        <f t="shared" si="472"/>
        <v>0</v>
      </c>
      <c r="BE247" s="71">
        <v>26400</v>
      </c>
      <c r="BF247" s="71">
        <v>29440</v>
      </c>
      <c r="BG247" s="78">
        <f t="shared" si="473"/>
        <v>0</v>
      </c>
      <c r="BH247" s="71">
        <f t="shared" si="474"/>
        <v>29440</v>
      </c>
      <c r="BI247" s="33">
        <f t="shared" si="475"/>
        <v>3040</v>
      </c>
      <c r="BJ247" s="33">
        <f t="shared" si="476"/>
        <v>3072</v>
      </c>
      <c r="BK247" s="71">
        <v>29696</v>
      </c>
      <c r="BL247" s="79">
        <f t="shared" si="477"/>
        <v>256</v>
      </c>
      <c r="BM247" s="79">
        <f t="shared" si="478"/>
        <v>3296</v>
      </c>
      <c r="BN247" s="32"/>
      <c r="BO247" s="32"/>
      <c r="BP247" s="71">
        <v>29696</v>
      </c>
      <c r="BQ247" s="32">
        <f t="shared" si="383"/>
        <v>0</v>
      </c>
      <c r="BR247" s="32">
        <f t="shared" si="384"/>
        <v>3296</v>
      </c>
      <c r="BS247" s="32"/>
      <c r="BT247" s="32"/>
      <c r="BU247" s="33"/>
      <c r="BV247" s="34">
        <f t="shared" si="385"/>
        <v>3040</v>
      </c>
      <c r="BY247" s="82"/>
      <c r="BZ247" s="82"/>
      <c r="CC247" s="37"/>
      <c r="CD247" s="71">
        <v>26368</v>
      </c>
    </row>
    <row r="248" spans="1:83" s="77" customFormat="1" ht="18" hidden="1" customHeight="1" x14ac:dyDescent="0.25">
      <c r="A248" s="99"/>
      <c r="B248" s="100"/>
      <c r="C248" s="101"/>
      <c r="D248" s="93"/>
      <c r="E248" s="98"/>
      <c r="F248" s="121" t="s">
        <v>670</v>
      </c>
      <c r="G248" s="106">
        <v>17600</v>
      </c>
      <c r="H248" s="106">
        <v>18500</v>
      </c>
      <c r="I248" s="106">
        <v>0</v>
      </c>
      <c r="J248" s="70"/>
      <c r="K248" s="106">
        <v>18418.71</v>
      </c>
      <c r="L248" s="106"/>
      <c r="M248" s="106"/>
      <c r="N248" s="106"/>
      <c r="O248" s="106">
        <v>0</v>
      </c>
      <c r="P248" s="106">
        <f t="shared" si="464"/>
        <v>0</v>
      </c>
      <c r="Q248" s="106">
        <v>907.54</v>
      </c>
      <c r="R248" s="106"/>
      <c r="S248" s="106">
        <v>0</v>
      </c>
      <c r="T248" s="106">
        <f t="shared" si="416"/>
        <v>0</v>
      </c>
      <c r="U248" s="107">
        <f t="shared" si="417"/>
        <v>-18418.71</v>
      </c>
      <c r="V248" s="106">
        <f t="shared" si="418"/>
        <v>0</v>
      </c>
      <c r="W248" s="108"/>
      <c r="X248" s="109"/>
      <c r="Y248" s="24">
        <f t="shared" si="376"/>
        <v>0</v>
      </c>
      <c r="Z248" s="85">
        <f>S248</f>
        <v>0</v>
      </c>
      <c r="AA248" s="29">
        <f t="shared" si="465"/>
        <v>0</v>
      </c>
      <c r="AB248" s="29">
        <f t="shared" si="466"/>
        <v>0</v>
      </c>
      <c r="AC248" s="72"/>
      <c r="AD248" s="72"/>
      <c r="AE248" s="72"/>
      <c r="AF248" s="72"/>
      <c r="AG248" s="72"/>
      <c r="AH248" s="85">
        <f>AA248</f>
        <v>0</v>
      </c>
      <c r="AI248" s="85"/>
      <c r="AJ248" s="85">
        <f t="shared" si="468"/>
        <v>0</v>
      </c>
      <c r="AK248" s="86"/>
      <c r="AL248" s="133"/>
      <c r="AM248" s="27">
        <f t="shared" si="379"/>
        <v>0</v>
      </c>
      <c r="AN248" s="61">
        <f t="shared" si="380"/>
        <v>0</v>
      </c>
      <c r="AO248" s="62">
        <f t="shared" si="381"/>
        <v>0</v>
      </c>
      <c r="AQ248" s="85"/>
      <c r="AR248" s="85"/>
      <c r="AS248" s="85"/>
      <c r="AT248" s="86"/>
      <c r="AU248" s="71">
        <f>CEILING(BD248,100)</f>
        <v>0</v>
      </c>
      <c r="AV248" s="71">
        <f>CEILING(AT248,100)</f>
        <v>0</v>
      </c>
      <c r="AW248" s="71">
        <f t="shared" si="470"/>
        <v>0</v>
      </c>
      <c r="AX248" s="76">
        <f t="shared" si="471"/>
        <v>0</v>
      </c>
      <c r="AY248" s="76">
        <f t="shared" si="472"/>
        <v>0</v>
      </c>
      <c r="BE248" s="71">
        <v>0</v>
      </c>
      <c r="BF248" s="71"/>
      <c r="BG248" s="78">
        <f t="shared" si="473"/>
        <v>0</v>
      </c>
      <c r="BH248" s="71"/>
      <c r="BI248" s="33">
        <f t="shared" si="475"/>
        <v>0</v>
      </c>
      <c r="BJ248" s="33">
        <f t="shared" si="476"/>
        <v>0</v>
      </c>
      <c r="BK248" s="71">
        <f>BH248</f>
        <v>0</v>
      </c>
      <c r="BL248" s="79">
        <f t="shared" si="477"/>
        <v>0</v>
      </c>
      <c r="BM248" s="79">
        <f t="shared" si="478"/>
        <v>0</v>
      </c>
      <c r="BN248" s="32"/>
      <c r="BO248" s="32"/>
      <c r="BP248" s="71"/>
      <c r="BQ248" s="32">
        <f t="shared" si="383"/>
        <v>0</v>
      </c>
      <c r="BR248" s="32">
        <f t="shared" si="384"/>
        <v>0</v>
      </c>
      <c r="BS248" s="32"/>
      <c r="BT248" s="32"/>
      <c r="BU248" s="33"/>
      <c r="BV248" s="34">
        <f t="shared" si="385"/>
        <v>0</v>
      </c>
      <c r="BY248" s="82"/>
      <c r="BZ248" s="82"/>
      <c r="CC248" s="37"/>
      <c r="CD248" s="71"/>
    </row>
    <row r="249" spans="1:83" s="77" customFormat="1" ht="18" customHeight="1" x14ac:dyDescent="0.25">
      <c r="A249" s="99"/>
      <c r="B249" s="100"/>
      <c r="C249" s="101"/>
      <c r="D249" s="93"/>
      <c r="E249" s="98"/>
      <c r="F249" s="121" t="s">
        <v>671</v>
      </c>
      <c r="G249" s="192"/>
      <c r="H249" s="192"/>
      <c r="I249" s="192"/>
      <c r="J249" s="193"/>
      <c r="K249" s="192"/>
      <c r="L249" s="192"/>
      <c r="M249" s="192"/>
      <c r="N249" s="192"/>
      <c r="O249" s="192"/>
      <c r="P249" s="192"/>
      <c r="Q249" s="192"/>
      <c r="R249" s="192"/>
      <c r="S249" s="192"/>
      <c r="T249" s="192"/>
      <c r="U249" s="192"/>
      <c r="V249" s="192"/>
      <c r="W249" s="194"/>
      <c r="X249" s="192"/>
      <c r="Y249" s="195"/>
      <c r="Z249" s="85">
        <v>17000</v>
      </c>
      <c r="AA249" s="29">
        <f t="shared" si="465"/>
        <v>17000</v>
      </c>
      <c r="AB249" s="29"/>
      <c r="AC249" s="191" t="s">
        <v>672</v>
      </c>
      <c r="AD249" s="72"/>
      <c r="AE249" s="72"/>
      <c r="AF249" s="72"/>
      <c r="AG249" s="72"/>
      <c r="AH249" s="85">
        <f>18545.56/12*11</f>
        <v>17000.096666666668</v>
      </c>
      <c r="AI249" s="85">
        <f>8826.32+(1310.44*6)</f>
        <v>16688.96</v>
      </c>
      <c r="AJ249" s="85">
        <f t="shared" si="468"/>
        <v>9.6666666668170365E-2</v>
      </c>
      <c r="AK249" s="86">
        <v>16688.96</v>
      </c>
      <c r="AL249" s="123">
        <f>14068.08+(1310.44*2)</f>
        <v>16688.96</v>
      </c>
      <c r="AM249" s="27">
        <f t="shared" si="379"/>
        <v>0</v>
      </c>
      <c r="AN249" s="61">
        <f t="shared" si="380"/>
        <v>-311.04000000000087</v>
      </c>
      <c r="AO249" s="62">
        <f t="shared" si="381"/>
        <v>-311.04000000000087</v>
      </c>
      <c r="AQ249" s="85" t="s">
        <v>673</v>
      </c>
      <c r="AR249" s="90" t="s">
        <v>674</v>
      </c>
      <c r="AS249" s="85" t="s">
        <v>673</v>
      </c>
      <c r="AT249" s="86">
        <v>1310.44</v>
      </c>
      <c r="AU249" s="71">
        <v>16579.77</v>
      </c>
      <c r="AV249" s="71">
        <f>CEILING(AT249,100)</f>
        <v>1400</v>
      </c>
      <c r="AW249" s="71">
        <f t="shared" si="470"/>
        <v>-15600</v>
      </c>
      <c r="AX249" s="76">
        <f t="shared" si="471"/>
        <v>-15689.56</v>
      </c>
      <c r="AY249" s="76">
        <f t="shared" si="472"/>
        <v>-15378.519999999999</v>
      </c>
      <c r="AZ249" s="77" t="s">
        <v>675</v>
      </c>
      <c r="BA249" s="72">
        <f>AT247*10%</f>
        <v>2636.8</v>
      </c>
      <c r="BE249" s="71">
        <v>1400</v>
      </c>
      <c r="BF249" s="71">
        <v>1419.64</v>
      </c>
      <c r="BG249" s="78">
        <f t="shared" si="473"/>
        <v>0</v>
      </c>
      <c r="BH249" s="71">
        <f>BF249</f>
        <v>1419.64</v>
      </c>
      <c r="BI249" s="33">
        <f t="shared" si="475"/>
        <v>19.6400000000001</v>
      </c>
      <c r="BJ249" s="33">
        <f t="shared" si="476"/>
        <v>-15160.130000000001</v>
      </c>
      <c r="BK249" s="71">
        <f>BH249</f>
        <v>1419.64</v>
      </c>
      <c r="BL249" s="79">
        <f t="shared" si="477"/>
        <v>0</v>
      </c>
      <c r="BM249" s="79">
        <f t="shared" si="478"/>
        <v>19.6400000000001</v>
      </c>
      <c r="BN249" s="87" t="s">
        <v>676</v>
      </c>
      <c r="BO249" s="87" t="s">
        <v>676</v>
      </c>
      <c r="BP249" s="71">
        <v>1419.64</v>
      </c>
      <c r="BQ249" s="32">
        <f t="shared" si="383"/>
        <v>0</v>
      </c>
      <c r="BR249" s="32">
        <f t="shared" si="384"/>
        <v>19.6400000000001</v>
      </c>
      <c r="BS249" s="87" t="s">
        <v>676</v>
      </c>
      <c r="BT249" s="87" t="s">
        <v>676</v>
      </c>
      <c r="BU249" s="33"/>
      <c r="BV249" s="34">
        <f t="shared" si="385"/>
        <v>19.6400000000001</v>
      </c>
      <c r="BY249" s="82"/>
      <c r="BZ249" s="82"/>
      <c r="CC249" s="37"/>
      <c r="CD249" s="71">
        <v>16579.77</v>
      </c>
    </row>
    <row r="250" spans="1:83" s="35" customFormat="1" ht="18" customHeight="1" x14ac:dyDescent="0.25">
      <c r="A250" s="38" t="s">
        <v>58</v>
      </c>
      <c r="B250" s="39"/>
      <c r="C250" s="119" t="s">
        <v>677</v>
      </c>
      <c r="D250" s="119"/>
      <c r="E250" s="122"/>
      <c r="F250" s="40"/>
      <c r="G250" s="20">
        <v>432300</v>
      </c>
      <c r="H250" s="20">
        <v>432300</v>
      </c>
      <c r="I250" s="20">
        <f>I251</f>
        <v>401200</v>
      </c>
      <c r="J250" s="20">
        <f>J251</f>
        <v>0</v>
      </c>
      <c r="K250" s="20">
        <v>426106.39</v>
      </c>
      <c r="L250" s="20">
        <f t="shared" ref="L250:Q250" si="479">L251</f>
        <v>197800</v>
      </c>
      <c r="M250" s="20">
        <f t="shared" si="479"/>
        <v>213053.12</v>
      </c>
      <c r="N250" s="20">
        <f t="shared" si="479"/>
        <v>426106.24</v>
      </c>
      <c r="O250" s="20">
        <f t="shared" si="479"/>
        <v>426106.24</v>
      </c>
      <c r="P250" s="20">
        <f t="shared" si="479"/>
        <v>24906.240000000002</v>
      </c>
      <c r="Q250" s="20">
        <f t="shared" si="479"/>
        <v>0</v>
      </c>
      <c r="R250" s="20"/>
      <c r="S250" s="20">
        <f>S251</f>
        <v>407483.63</v>
      </c>
      <c r="T250" s="20">
        <f t="shared" ref="T250:T313" si="480">S250-I250</f>
        <v>6283.6300000000047</v>
      </c>
      <c r="U250" s="21">
        <f t="shared" ref="U250:U313" si="481">S250-K250</f>
        <v>-18622.760000000009</v>
      </c>
      <c r="V250" s="20">
        <f t="shared" ref="V250:V313" si="482">S250-O250</f>
        <v>-18622.609999999986</v>
      </c>
      <c r="W250" s="22" t="s">
        <v>678</v>
      </c>
      <c r="X250" s="23">
        <f>X251</f>
        <v>407483.63</v>
      </c>
      <c r="Y250" s="24">
        <f t="shared" ref="Y250:Y313" si="483">X250-S250</f>
        <v>0</v>
      </c>
      <c r="Z250" s="25">
        <f t="shared" ref="Z250:AL250" si="484">Z251</f>
        <v>407485</v>
      </c>
      <c r="AA250" s="25">
        <f t="shared" si="484"/>
        <v>6285</v>
      </c>
      <c r="AB250" s="25">
        <f t="shared" si="484"/>
        <v>1.3699999999931478</v>
      </c>
      <c r="AC250" s="25">
        <f t="shared" si="484"/>
        <v>0</v>
      </c>
      <c r="AD250" s="25">
        <f t="shared" si="484"/>
        <v>0</v>
      </c>
      <c r="AE250" s="25">
        <f t="shared" si="484"/>
        <v>0</v>
      </c>
      <c r="AF250" s="25">
        <f t="shared" si="484"/>
        <v>0</v>
      </c>
      <c r="AG250" s="25">
        <f t="shared" si="484"/>
        <v>0</v>
      </c>
      <c r="AH250" s="25">
        <f t="shared" si="484"/>
        <v>407483.63</v>
      </c>
      <c r="AI250" s="25">
        <f t="shared" si="484"/>
        <v>367910</v>
      </c>
      <c r="AJ250" s="25">
        <f t="shared" si="484"/>
        <v>-1.3699999999931478</v>
      </c>
      <c r="AK250" s="26">
        <f t="shared" si="484"/>
        <v>367910</v>
      </c>
      <c r="AL250" s="25">
        <f t="shared" si="484"/>
        <v>367622</v>
      </c>
      <c r="AM250" s="27">
        <f t="shared" si="379"/>
        <v>-288</v>
      </c>
      <c r="AN250" s="28">
        <f t="shared" si="380"/>
        <v>-39863</v>
      </c>
      <c r="AO250" s="50">
        <f t="shared" si="381"/>
        <v>-39575</v>
      </c>
      <c r="AQ250" s="25" t="s">
        <v>679</v>
      </c>
      <c r="AR250" s="25" t="s">
        <v>680</v>
      </c>
      <c r="AS250" s="25" t="s">
        <v>679</v>
      </c>
      <c r="AT250" s="26">
        <f t="shared" ref="AT250:BP250" si="485">AT251</f>
        <v>359410</v>
      </c>
      <c r="AU250" s="25">
        <f t="shared" si="485"/>
        <v>367628.18000000011</v>
      </c>
      <c r="AV250" s="25">
        <f t="shared" si="485"/>
        <v>359500</v>
      </c>
      <c r="AW250" s="25">
        <f t="shared" si="485"/>
        <v>-47985</v>
      </c>
      <c r="AX250" s="25">
        <f t="shared" si="485"/>
        <v>-48075</v>
      </c>
      <c r="AY250" s="25">
        <f t="shared" si="485"/>
        <v>-8212</v>
      </c>
      <c r="AZ250" s="25">
        <f t="shared" si="485"/>
        <v>0</v>
      </c>
      <c r="BA250" s="25">
        <f t="shared" si="485"/>
        <v>0</v>
      </c>
      <c r="BB250" s="25">
        <f t="shared" si="485"/>
        <v>0</v>
      </c>
      <c r="BC250" s="25">
        <f t="shared" si="485"/>
        <v>0</v>
      </c>
      <c r="BD250" s="25">
        <f t="shared" si="485"/>
        <v>0</v>
      </c>
      <c r="BE250" s="25">
        <f t="shared" si="485"/>
        <v>359500</v>
      </c>
      <c r="BF250" s="25">
        <f t="shared" si="485"/>
        <v>368800</v>
      </c>
      <c r="BG250" s="25">
        <f t="shared" si="485"/>
        <v>0</v>
      </c>
      <c r="BH250" s="25">
        <f t="shared" si="485"/>
        <v>371800</v>
      </c>
      <c r="BI250" s="25">
        <f t="shared" si="485"/>
        <v>9300</v>
      </c>
      <c r="BJ250" s="25">
        <f t="shared" si="485"/>
        <v>1171.8199999999979</v>
      </c>
      <c r="BK250" s="25">
        <f t="shared" si="485"/>
        <v>371795.67999999988</v>
      </c>
      <c r="BL250" s="25">
        <f t="shared" si="485"/>
        <v>-4.3200000000088039</v>
      </c>
      <c r="BM250" s="25">
        <f t="shared" si="485"/>
        <v>12295.679999999991</v>
      </c>
      <c r="BN250" s="25">
        <f t="shared" si="485"/>
        <v>0</v>
      </c>
      <c r="BO250" s="25">
        <f t="shared" si="485"/>
        <v>0</v>
      </c>
      <c r="BP250" s="25">
        <f t="shared" si="485"/>
        <v>371868.67999999982</v>
      </c>
      <c r="BQ250" s="31">
        <f t="shared" si="383"/>
        <v>72.999999999941792</v>
      </c>
      <c r="BR250" s="31">
        <f t="shared" si="384"/>
        <v>12368.679999999818</v>
      </c>
      <c r="BS250" s="151" t="s">
        <v>681</v>
      </c>
      <c r="BT250" s="151" t="s">
        <v>681</v>
      </c>
      <c r="BU250" s="33"/>
      <c r="BV250" s="34">
        <f t="shared" si="385"/>
        <v>12300</v>
      </c>
      <c r="BW250" s="37">
        <f>AV250-AV50</f>
        <v>115500</v>
      </c>
      <c r="BY250" s="36"/>
      <c r="BZ250" s="36"/>
      <c r="CC250" s="37"/>
      <c r="CD250" s="25">
        <f>CD251</f>
        <v>367628.18000000011</v>
      </c>
      <c r="CE250" s="29"/>
    </row>
    <row r="251" spans="1:83" s="35" customFormat="1" ht="18" customHeight="1" x14ac:dyDescent="0.25">
      <c r="A251" s="38" t="s">
        <v>58</v>
      </c>
      <c r="B251" s="39"/>
      <c r="C251" s="93"/>
      <c r="D251" s="93" t="s">
        <v>682</v>
      </c>
      <c r="E251" s="103"/>
      <c r="F251" s="104"/>
      <c r="G251" s="46">
        <v>432300</v>
      </c>
      <c r="H251" s="46">
        <v>432300</v>
      </c>
      <c r="I251" s="46">
        <f t="shared" ref="I251:Q251" si="486">I252+I259</f>
        <v>401200</v>
      </c>
      <c r="J251" s="46">
        <f t="shared" si="486"/>
        <v>0</v>
      </c>
      <c r="K251" s="46">
        <f t="shared" si="486"/>
        <v>426106.38999999996</v>
      </c>
      <c r="L251" s="46">
        <f t="shared" si="486"/>
        <v>197800</v>
      </c>
      <c r="M251" s="46">
        <f t="shared" si="486"/>
        <v>213053.12</v>
      </c>
      <c r="N251" s="46">
        <f t="shared" si="486"/>
        <v>426106.24</v>
      </c>
      <c r="O251" s="46">
        <f t="shared" si="486"/>
        <v>426106.24</v>
      </c>
      <c r="P251" s="46">
        <f t="shared" si="486"/>
        <v>24906.240000000002</v>
      </c>
      <c r="Q251" s="46">
        <f t="shared" si="486"/>
        <v>0</v>
      </c>
      <c r="R251" s="46"/>
      <c r="S251" s="46">
        <f>S252+S259</f>
        <v>407483.63</v>
      </c>
      <c r="T251" s="46">
        <f t="shared" si="480"/>
        <v>6283.6300000000047</v>
      </c>
      <c r="U251" s="21">
        <f t="shared" si="481"/>
        <v>-18622.759999999951</v>
      </c>
      <c r="V251" s="46">
        <f t="shared" si="482"/>
        <v>-18622.609999999986</v>
      </c>
      <c r="W251" s="47"/>
      <c r="X251" s="23">
        <f>X252+X259</f>
        <v>407483.63</v>
      </c>
      <c r="Y251" s="24">
        <f t="shared" si="483"/>
        <v>0</v>
      </c>
      <c r="Z251" s="48">
        <f t="shared" ref="Z251:AL251" si="487">Z252+Z259</f>
        <v>407485</v>
      </c>
      <c r="AA251" s="48">
        <f t="shared" si="487"/>
        <v>6285</v>
      </c>
      <c r="AB251" s="48">
        <f t="shared" si="487"/>
        <v>1.3699999999931478</v>
      </c>
      <c r="AC251" s="48">
        <f t="shared" si="487"/>
        <v>0</v>
      </c>
      <c r="AD251" s="48">
        <f t="shared" si="487"/>
        <v>0</v>
      </c>
      <c r="AE251" s="48">
        <f t="shared" si="487"/>
        <v>0</v>
      </c>
      <c r="AF251" s="48">
        <f t="shared" si="487"/>
        <v>0</v>
      </c>
      <c r="AG251" s="48">
        <f t="shared" si="487"/>
        <v>0</v>
      </c>
      <c r="AH251" s="48">
        <f t="shared" si="487"/>
        <v>407483.63</v>
      </c>
      <c r="AI251" s="48">
        <f t="shared" si="487"/>
        <v>367910</v>
      </c>
      <c r="AJ251" s="48">
        <f t="shared" si="487"/>
        <v>-1.3699999999931478</v>
      </c>
      <c r="AK251" s="49">
        <f t="shared" si="487"/>
        <v>367910</v>
      </c>
      <c r="AL251" s="48">
        <f t="shared" si="487"/>
        <v>367622</v>
      </c>
      <c r="AM251" s="27">
        <f t="shared" si="379"/>
        <v>-288</v>
      </c>
      <c r="AN251" s="28">
        <f t="shared" si="380"/>
        <v>-39863</v>
      </c>
      <c r="AO251" s="50">
        <f t="shared" si="381"/>
        <v>-39575</v>
      </c>
      <c r="AQ251" s="48" t="s">
        <v>683</v>
      </c>
      <c r="AR251" s="48" t="s">
        <v>683</v>
      </c>
      <c r="AS251" s="48" t="s">
        <v>683</v>
      </c>
      <c r="AT251" s="49">
        <f t="shared" ref="AT251:BP251" si="488">AT252+AT259</f>
        <v>359410</v>
      </c>
      <c r="AU251" s="48">
        <f t="shared" si="488"/>
        <v>367628.18000000011</v>
      </c>
      <c r="AV251" s="48">
        <f t="shared" si="488"/>
        <v>359500</v>
      </c>
      <c r="AW251" s="48">
        <f t="shared" si="488"/>
        <v>-47985</v>
      </c>
      <c r="AX251" s="48">
        <f t="shared" si="488"/>
        <v>-48075</v>
      </c>
      <c r="AY251" s="48">
        <f t="shared" si="488"/>
        <v>-8212</v>
      </c>
      <c r="AZ251" s="48">
        <f t="shared" si="488"/>
        <v>0</v>
      </c>
      <c r="BA251" s="48">
        <f t="shared" si="488"/>
        <v>0</v>
      </c>
      <c r="BB251" s="48">
        <f t="shared" si="488"/>
        <v>0</v>
      </c>
      <c r="BC251" s="48">
        <f t="shared" si="488"/>
        <v>0</v>
      </c>
      <c r="BD251" s="48">
        <f t="shared" si="488"/>
        <v>0</v>
      </c>
      <c r="BE251" s="48">
        <f t="shared" si="488"/>
        <v>359500</v>
      </c>
      <c r="BF251" s="48">
        <f t="shared" si="488"/>
        <v>368800</v>
      </c>
      <c r="BG251" s="48">
        <f t="shared" si="488"/>
        <v>0</v>
      </c>
      <c r="BH251" s="48">
        <f t="shared" si="488"/>
        <v>371800</v>
      </c>
      <c r="BI251" s="48">
        <f t="shared" si="488"/>
        <v>9300</v>
      </c>
      <c r="BJ251" s="48">
        <f t="shared" si="488"/>
        <v>1171.8199999999979</v>
      </c>
      <c r="BK251" s="48">
        <f t="shared" si="488"/>
        <v>371795.67999999988</v>
      </c>
      <c r="BL251" s="48">
        <f t="shared" si="488"/>
        <v>-4.3200000000088039</v>
      </c>
      <c r="BM251" s="48">
        <f t="shared" si="488"/>
        <v>12295.679999999991</v>
      </c>
      <c r="BN251" s="48">
        <f t="shared" si="488"/>
        <v>0</v>
      </c>
      <c r="BO251" s="48">
        <f t="shared" si="488"/>
        <v>0</v>
      </c>
      <c r="BP251" s="48">
        <f t="shared" si="488"/>
        <v>371868.67999999982</v>
      </c>
      <c r="BQ251" s="31">
        <f t="shared" si="383"/>
        <v>72.999999999941792</v>
      </c>
      <c r="BR251" s="31">
        <f t="shared" si="384"/>
        <v>12368.679999999818</v>
      </c>
      <c r="BS251" s="151" t="s">
        <v>684</v>
      </c>
      <c r="BT251" s="151" t="s">
        <v>685</v>
      </c>
      <c r="BU251" s="33"/>
      <c r="BV251" s="34">
        <f t="shared" si="385"/>
        <v>12300</v>
      </c>
      <c r="BW251" s="37">
        <f>BK250-BK50</f>
        <v>127703.84999999989</v>
      </c>
      <c r="BY251" s="36"/>
      <c r="BZ251" s="36"/>
      <c r="CC251" s="37"/>
      <c r="CD251" s="48">
        <f>CD252+CD259</f>
        <v>367628.18000000011</v>
      </c>
      <c r="CE251" s="29"/>
    </row>
    <row r="252" spans="1:83" s="63" customFormat="1" ht="18" customHeight="1" x14ac:dyDescent="0.25">
      <c r="A252" s="96" t="s">
        <v>58</v>
      </c>
      <c r="B252" s="97"/>
      <c r="C252" s="98"/>
      <c r="D252" s="103"/>
      <c r="E252" s="98" t="s">
        <v>686</v>
      </c>
      <c r="F252" s="105"/>
      <c r="G252" s="55">
        <v>6300</v>
      </c>
      <c r="H252" s="55">
        <v>6300</v>
      </c>
      <c r="I252" s="55">
        <f t="shared" ref="I252:Q252" si="489">I258</f>
        <v>5600</v>
      </c>
      <c r="J252" s="55">
        <f t="shared" si="489"/>
        <v>0</v>
      </c>
      <c r="K252" s="55">
        <f t="shared" si="489"/>
        <v>6661.12</v>
      </c>
      <c r="L252" s="55">
        <f t="shared" si="489"/>
        <v>0</v>
      </c>
      <c r="M252" s="55">
        <f t="shared" si="489"/>
        <v>3330.5</v>
      </c>
      <c r="N252" s="55">
        <f t="shared" si="489"/>
        <v>6661</v>
      </c>
      <c r="O252" s="55">
        <f t="shared" si="489"/>
        <v>6661</v>
      </c>
      <c r="P252" s="55">
        <f t="shared" si="489"/>
        <v>1061</v>
      </c>
      <c r="Q252" s="55">
        <f t="shared" si="489"/>
        <v>0</v>
      </c>
      <c r="R252" s="55"/>
      <c r="S252" s="55">
        <f>S258</f>
        <v>6011.59</v>
      </c>
      <c r="T252" s="55">
        <f t="shared" si="480"/>
        <v>411.59000000000015</v>
      </c>
      <c r="U252" s="56">
        <f t="shared" si="481"/>
        <v>-649.52999999999975</v>
      </c>
      <c r="V252" s="55">
        <f t="shared" si="482"/>
        <v>-649.40999999999985</v>
      </c>
      <c r="W252" s="57"/>
      <c r="X252" s="58">
        <f>X258</f>
        <v>6011.59</v>
      </c>
      <c r="Y252" s="59">
        <f t="shared" si="483"/>
        <v>0</v>
      </c>
      <c r="Z252" s="33">
        <f t="shared" ref="Z252:AL252" si="490">Z258</f>
        <v>6012</v>
      </c>
      <c r="AA252" s="33">
        <f t="shared" si="490"/>
        <v>412</v>
      </c>
      <c r="AB252" s="33">
        <f t="shared" si="490"/>
        <v>0.40999999999985448</v>
      </c>
      <c r="AC252" s="33">
        <f t="shared" si="490"/>
        <v>0</v>
      </c>
      <c r="AD252" s="33">
        <f t="shared" si="490"/>
        <v>0</v>
      </c>
      <c r="AE252" s="33">
        <f t="shared" si="490"/>
        <v>0</v>
      </c>
      <c r="AF252" s="33">
        <f t="shared" si="490"/>
        <v>0</v>
      </c>
      <c r="AG252" s="33">
        <f t="shared" si="490"/>
        <v>0</v>
      </c>
      <c r="AH252" s="33">
        <f t="shared" si="490"/>
        <v>6011.59</v>
      </c>
      <c r="AI252" s="33">
        <f t="shared" si="490"/>
        <v>5600</v>
      </c>
      <c r="AJ252" s="33">
        <f t="shared" si="490"/>
        <v>-0.40999999999985448</v>
      </c>
      <c r="AK252" s="60">
        <f t="shared" si="490"/>
        <v>5600</v>
      </c>
      <c r="AL252" s="33">
        <f t="shared" si="490"/>
        <v>5579</v>
      </c>
      <c r="AM252" s="27">
        <f t="shared" si="379"/>
        <v>-21</v>
      </c>
      <c r="AN252" s="61">
        <f t="shared" si="380"/>
        <v>-433</v>
      </c>
      <c r="AO252" s="62">
        <f t="shared" si="381"/>
        <v>-412</v>
      </c>
      <c r="AQ252" s="33"/>
      <c r="AR252" s="33"/>
      <c r="AS252" s="33"/>
      <c r="AT252" s="60">
        <f t="shared" ref="AT252:BP252" si="491">AT258</f>
        <v>5200</v>
      </c>
      <c r="AU252" s="33">
        <f t="shared" si="491"/>
        <v>5578.28</v>
      </c>
      <c r="AV252" s="33">
        <f t="shared" si="491"/>
        <v>5200</v>
      </c>
      <c r="AW252" s="33">
        <f t="shared" si="491"/>
        <v>-812</v>
      </c>
      <c r="AX252" s="33">
        <f t="shared" si="491"/>
        <v>-812</v>
      </c>
      <c r="AY252" s="33">
        <f t="shared" si="491"/>
        <v>-379</v>
      </c>
      <c r="AZ252" s="33">
        <f t="shared" si="491"/>
        <v>0</v>
      </c>
      <c r="BA252" s="33">
        <f t="shared" si="491"/>
        <v>0</v>
      </c>
      <c r="BB252" s="33">
        <f t="shared" si="491"/>
        <v>0</v>
      </c>
      <c r="BC252" s="33">
        <f t="shared" si="491"/>
        <v>0</v>
      </c>
      <c r="BD252" s="33">
        <f t="shared" si="491"/>
        <v>0</v>
      </c>
      <c r="BE252" s="33">
        <f t="shared" si="491"/>
        <v>5200</v>
      </c>
      <c r="BF252" s="33">
        <f t="shared" si="491"/>
        <v>6000</v>
      </c>
      <c r="BG252" s="33">
        <f t="shared" si="491"/>
        <v>0</v>
      </c>
      <c r="BH252" s="33">
        <f t="shared" si="491"/>
        <v>7100</v>
      </c>
      <c r="BI252" s="33">
        <f t="shared" si="491"/>
        <v>800</v>
      </c>
      <c r="BJ252" s="33">
        <f t="shared" si="491"/>
        <v>421.72000000000025</v>
      </c>
      <c r="BK252" s="33">
        <f t="shared" si="491"/>
        <v>7605.68</v>
      </c>
      <c r="BL252" s="33">
        <f t="shared" si="491"/>
        <v>505.68000000000029</v>
      </c>
      <c r="BM252" s="33">
        <f t="shared" si="491"/>
        <v>2405.6800000000003</v>
      </c>
      <c r="BN252" s="33">
        <f t="shared" si="491"/>
        <v>0</v>
      </c>
      <c r="BO252" s="33">
        <f t="shared" si="491"/>
        <v>0</v>
      </c>
      <c r="BP252" s="33">
        <f t="shared" si="491"/>
        <v>7643.55</v>
      </c>
      <c r="BQ252" s="31">
        <f t="shared" si="383"/>
        <v>37.869999999999891</v>
      </c>
      <c r="BR252" s="31">
        <f t="shared" si="384"/>
        <v>2443.5500000000002</v>
      </c>
      <c r="BS252" s="32"/>
      <c r="BT252" s="32"/>
      <c r="BU252" s="33"/>
      <c r="BV252" s="34">
        <f t="shared" si="385"/>
        <v>1900</v>
      </c>
      <c r="BW252" s="37">
        <f>BW251-BW250</f>
        <v>12203.849999999889</v>
      </c>
      <c r="BY252" s="64"/>
      <c r="BZ252" s="64"/>
      <c r="CC252" s="37"/>
      <c r="CD252" s="33">
        <f>CD258</f>
        <v>5578.28</v>
      </c>
    </row>
    <row r="253" spans="1:83" s="77" customFormat="1" ht="18" hidden="1" customHeight="1" x14ac:dyDescent="0.25">
      <c r="A253" s="99" t="s">
        <v>58</v>
      </c>
      <c r="B253" s="100"/>
      <c r="C253" s="101"/>
      <c r="D253" s="93"/>
      <c r="E253" s="98"/>
      <c r="F253" s="121" t="s">
        <v>687</v>
      </c>
      <c r="G253" s="115">
        <v>0</v>
      </c>
      <c r="H253" s="115"/>
      <c r="I253" s="115"/>
      <c r="J253" s="65"/>
      <c r="K253" s="115"/>
      <c r="L253" s="115"/>
      <c r="M253" s="115"/>
      <c r="N253" s="115"/>
      <c r="O253" s="115"/>
      <c r="P253" s="115">
        <f t="shared" ref="P253:P258" si="492">N253-I253</f>
        <v>0</v>
      </c>
      <c r="Q253" s="115"/>
      <c r="R253" s="115"/>
      <c r="S253" s="115"/>
      <c r="T253" s="115">
        <f t="shared" si="480"/>
        <v>0</v>
      </c>
      <c r="U253" s="107">
        <f t="shared" si="481"/>
        <v>0</v>
      </c>
      <c r="V253" s="115">
        <f t="shared" si="482"/>
        <v>0</v>
      </c>
      <c r="W253" s="116"/>
      <c r="X253" s="109"/>
      <c r="Y253" s="24">
        <f t="shared" si="483"/>
        <v>0</v>
      </c>
      <c r="Z253" s="117"/>
      <c r="AA253" s="110">
        <f t="shared" ref="AA253:AA258" si="493">Z253-I253</f>
        <v>0</v>
      </c>
      <c r="AB253" s="110">
        <f t="shared" ref="AB253:AB258" si="494">Z253-S253</f>
        <v>0</v>
      </c>
      <c r="AC253" s="72"/>
      <c r="AD253" s="72"/>
      <c r="AE253" s="72"/>
      <c r="AF253" s="72"/>
      <c r="AG253" s="72"/>
      <c r="AH253" s="117"/>
      <c r="AI253" s="117"/>
      <c r="AJ253" s="117">
        <f t="shared" ref="AJ253:AJ258" si="495">AH253-Z253</f>
        <v>0</v>
      </c>
      <c r="AK253" s="118"/>
      <c r="AL253" s="117"/>
      <c r="AM253" s="27">
        <f t="shared" si="379"/>
        <v>0</v>
      </c>
      <c r="AN253" s="61">
        <f t="shared" si="380"/>
        <v>0</v>
      </c>
      <c r="AO253" s="62">
        <f t="shared" si="381"/>
        <v>0</v>
      </c>
      <c r="AQ253" s="117"/>
      <c r="AR253" s="117"/>
      <c r="AS253" s="117"/>
      <c r="AT253" s="118"/>
      <c r="AU253" s="117"/>
      <c r="AV253" s="117"/>
      <c r="AW253" s="117">
        <f t="shared" ref="AW253:AW258" si="496">AV253-Z253</f>
        <v>0</v>
      </c>
      <c r="AX253" s="76">
        <f t="shared" ref="AX253:AX258" si="497">AT253-Z253</f>
        <v>0</v>
      </c>
      <c r="AY253" s="76">
        <f t="shared" ref="AY253:AY258" si="498">AT253-AL253</f>
        <v>0</v>
      </c>
      <c r="BE253" s="117"/>
      <c r="BF253" s="117"/>
      <c r="BG253" s="78">
        <f t="shared" ref="BG253:BG258" si="499">BE253-AV253</f>
        <v>0</v>
      </c>
      <c r="BH253" s="117"/>
      <c r="BI253" s="78">
        <f t="shared" ref="BI253:BI258" si="500">BF253-AV253</f>
        <v>0</v>
      </c>
      <c r="BJ253" s="78">
        <f t="shared" ref="BJ253:BJ258" si="501">BF253-AU253</f>
        <v>0</v>
      </c>
      <c r="BK253" s="117"/>
      <c r="BL253" s="79">
        <f t="shared" ref="BL253:BL258" si="502">BK253-BH253</f>
        <v>0</v>
      </c>
      <c r="BM253" s="79">
        <f t="shared" ref="BM253:BM258" si="503">BK253-AV253</f>
        <v>0</v>
      </c>
      <c r="BN253" s="32"/>
      <c r="BO253" s="32"/>
      <c r="BP253" s="117"/>
      <c r="BQ253" s="31">
        <f t="shared" si="383"/>
        <v>0</v>
      </c>
      <c r="BR253" s="31">
        <f t="shared" si="384"/>
        <v>0</v>
      </c>
      <c r="BS253" s="32"/>
      <c r="BT253" s="32"/>
      <c r="BU253" s="33"/>
      <c r="BV253" s="34">
        <f t="shared" si="385"/>
        <v>0</v>
      </c>
      <c r="BY253" s="82"/>
      <c r="BZ253" s="82"/>
      <c r="CC253" s="37"/>
      <c r="CD253" s="117"/>
    </row>
    <row r="254" spans="1:83" s="77" customFormat="1" ht="18" hidden="1" customHeight="1" x14ac:dyDescent="0.25">
      <c r="A254" s="99" t="s">
        <v>58</v>
      </c>
      <c r="B254" s="100"/>
      <c r="C254" s="101"/>
      <c r="D254" s="93"/>
      <c r="E254" s="98"/>
      <c r="F254" s="121" t="s">
        <v>688</v>
      </c>
      <c r="G254" s="115">
        <v>0</v>
      </c>
      <c r="H254" s="115"/>
      <c r="I254" s="115"/>
      <c r="J254" s="65"/>
      <c r="K254" s="115"/>
      <c r="L254" s="115"/>
      <c r="M254" s="115"/>
      <c r="N254" s="115"/>
      <c r="O254" s="115"/>
      <c r="P254" s="115">
        <f t="shared" si="492"/>
        <v>0</v>
      </c>
      <c r="Q254" s="115"/>
      <c r="R254" s="115"/>
      <c r="S254" s="115"/>
      <c r="T254" s="115">
        <f t="shared" si="480"/>
        <v>0</v>
      </c>
      <c r="U254" s="107">
        <f t="shared" si="481"/>
        <v>0</v>
      </c>
      <c r="V254" s="115">
        <f t="shared" si="482"/>
        <v>0</v>
      </c>
      <c r="W254" s="116"/>
      <c r="X254" s="109"/>
      <c r="Y254" s="24">
        <f t="shared" si="483"/>
        <v>0</v>
      </c>
      <c r="Z254" s="117"/>
      <c r="AA254" s="110">
        <f t="shared" si="493"/>
        <v>0</v>
      </c>
      <c r="AB254" s="110">
        <f t="shared" si="494"/>
        <v>0</v>
      </c>
      <c r="AC254" s="72"/>
      <c r="AD254" s="72"/>
      <c r="AE254" s="72"/>
      <c r="AF254" s="72"/>
      <c r="AG254" s="72"/>
      <c r="AH254" s="117"/>
      <c r="AI254" s="117"/>
      <c r="AJ254" s="117">
        <f t="shared" si="495"/>
        <v>0</v>
      </c>
      <c r="AK254" s="118"/>
      <c r="AL254" s="117"/>
      <c r="AM254" s="27">
        <f t="shared" si="379"/>
        <v>0</v>
      </c>
      <c r="AN254" s="61">
        <f t="shared" si="380"/>
        <v>0</v>
      </c>
      <c r="AO254" s="62">
        <f t="shared" si="381"/>
        <v>0</v>
      </c>
      <c r="AQ254" s="117"/>
      <c r="AR254" s="117"/>
      <c r="AS254" s="117"/>
      <c r="AT254" s="118"/>
      <c r="AU254" s="117"/>
      <c r="AV254" s="117"/>
      <c r="AW254" s="117">
        <f t="shared" si="496"/>
        <v>0</v>
      </c>
      <c r="AX254" s="76">
        <f t="shared" si="497"/>
        <v>0</v>
      </c>
      <c r="AY254" s="76">
        <f t="shared" si="498"/>
        <v>0</v>
      </c>
      <c r="BE254" s="117"/>
      <c r="BF254" s="117"/>
      <c r="BG254" s="78">
        <f t="shared" si="499"/>
        <v>0</v>
      </c>
      <c r="BH254" s="117"/>
      <c r="BI254" s="78">
        <f t="shared" si="500"/>
        <v>0</v>
      </c>
      <c r="BJ254" s="78">
        <f t="shared" si="501"/>
        <v>0</v>
      </c>
      <c r="BK254" s="117"/>
      <c r="BL254" s="79">
        <f t="shared" si="502"/>
        <v>0</v>
      </c>
      <c r="BM254" s="79">
        <f t="shared" si="503"/>
        <v>0</v>
      </c>
      <c r="BN254" s="32"/>
      <c r="BO254" s="32"/>
      <c r="BP254" s="117"/>
      <c r="BQ254" s="31">
        <f t="shared" si="383"/>
        <v>0</v>
      </c>
      <c r="BR254" s="31">
        <f t="shared" si="384"/>
        <v>0</v>
      </c>
      <c r="BS254" s="32"/>
      <c r="BT254" s="32"/>
      <c r="BU254" s="33"/>
      <c r="BV254" s="34">
        <f t="shared" si="385"/>
        <v>0</v>
      </c>
      <c r="BY254" s="82"/>
      <c r="BZ254" s="82"/>
      <c r="CC254" s="37"/>
      <c r="CD254" s="117"/>
    </row>
    <row r="255" spans="1:83" s="77" customFormat="1" ht="18" hidden="1" customHeight="1" x14ac:dyDescent="0.25">
      <c r="A255" s="99" t="s">
        <v>58</v>
      </c>
      <c r="B255" s="100"/>
      <c r="C255" s="101"/>
      <c r="D255" s="93"/>
      <c r="E255" s="98"/>
      <c r="F255" s="121" t="s">
        <v>689</v>
      </c>
      <c r="G255" s="115">
        <v>0</v>
      </c>
      <c r="H255" s="115"/>
      <c r="I255" s="115"/>
      <c r="J255" s="65"/>
      <c r="K255" s="115"/>
      <c r="L255" s="115"/>
      <c r="M255" s="115"/>
      <c r="N255" s="115"/>
      <c r="O255" s="115"/>
      <c r="P255" s="115">
        <f t="shared" si="492"/>
        <v>0</v>
      </c>
      <c r="Q255" s="115"/>
      <c r="R255" s="115"/>
      <c r="S255" s="115"/>
      <c r="T255" s="115">
        <f t="shared" si="480"/>
        <v>0</v>
      </c>
      <c r="U255" s="107">
        <f t="shared" si="481"/>
        <v>0</v>
      </c>
      <c r="V255" s="115">
        <f t="shared" si="482"/>
        <v>0</v>
      </c>
      <c r="W255" s="116"/>
      <c r="X255" s="109"/>
      <c r="Y255" s="24">
        <f t="shared" si="483"/>
        <v>0</v>
      </c>
      <c r="Z255" s="117"/>
      <c r="AA255" s="110">
        <f t="shared" si="493"/>
        <v>0</v>
      </c>
      <c r="AB255" s="110">
        <f t="shared" si="494"/>
        <v>0</v>
      </c>
      <c r="AC255" s="72"/>
      <c r="AD255" s="72"/>
      <c r="AE255" s="72"/>
      <c r="AF255" s="72"/>
      <c r="AG255" s="72"/>
      <c r="AH255" s="117"/>
      <c r="AI255" s="117"/>
      <c r="AJ255" s="117">
        <f t="shared" si="495"/>
        <v>0</v>
      </c>
      <c r="AK255" s="118"/>
      <c r="AL255" s="117"/>
      <c r="AM255" s="27">
        <f t="shared" si="379"/>
        <v>0</v>
      </c>
      <c r="AN255" s="61">
        <f t="shared" si="380"/>
        <v>0</v>
      </c>
      <c r="AO255" s="62">
        <f t="shared" si="381"/>
        <v>0</v>
      </c>
      <c r="AQ255" s="117"/>
      <c r="AR255" s="117"/>
      <c r="AS255" s="117"/>
      <c r="AT255" s="118"/>
      <c r="AU255" s="117"/>
      <c r="AV255" s="117"/>
      <c r="AW255" s="117">
        <f t="shared" si="496"/>
        <v>0</v>
      </c>
      <c r="AX255" s="76">
        <f t="shared" si="497"/>
        <v>0</v>
      </c>
      <c r="AY255" s="76">
        <f t="shared" si="498"/>
        <v>0</v>
      </c>
      <c r="BE255" s="117"/>
      <c r="BF255" s="117"/>
      <c r="BG255" s="78">
        <f t="shared" si="499"/>
        <v>0</v>
      </c>
      <c r="BH255" s="117"/>
      <c r="BI255" s="78">
        <f t="shared" si="500"/>
        <v>0</v>
      </c>
      <c r="BJ255" s="78">
        <f t="shared" si="501"/>
        <v>0</v>
      </c>
      <c r="BK255" s="117"/>
      <c r="BL255" s="79">
        <f t="shared" si="502"/>
        <v>0</v>
      </c>
      <c r="BM255" s="79">
        <f t="shared" si="503"/>
        <v>0</v>
      </c>
      <c r="BN255" s="32"/>
      <c r="BO255" s="32"/>
      <c r="BP255" s="117"/>
      <c r="BQ255" s="31">
        <f t="shared" si="383"/>
        <v>0</v>
      </c>
      <c r="BR255" s="31">
        <f t="shared" si="384"/>
        <v>0</v>
      </c>
      <c r="BS255" s="32"/>
      <c r="BT255" s="32"/>
      <c r="BU255" s="33"/>
      <c r="BV255" s="34">
        <f t="shared" si="385"/>
        <v>0</v>
      </c>
      <c r="BY255" s="82"/>
      <c r="BZ255" s="82"/>
      <c r="CC255" s="37"/>
      <c r="CD255" s="117"/>
    </row>
    <row r="256" spans="1:83" s="77" customFormat="1" ht="18" hidden="1" customHeight="1" x14ac:dyDescent="0.25">
      <c r="A256" s="99" t="s">
        <v>58</v>
      </c>
      <c r="B256" s="100"/>
      <c r="C256" s="101"/>
      <c r="D256" s="93"/>
      <c r="E256" s="98"/>
      <c r="F256" s="121" t="s">
        <v>690</v>
      </c>
      <c r="G256" s="115">
        <v>0</v>
      </c>
      <c r="H256" s="115"/>
      <c r="I256" s="115"/>
      <c r="J256" s="65"/>
      <c r="K256" s="115"/>
      <c r="L256" s="115"/>
      <c r="M256" s="115"/>
      <c r="N256" s="115"/>
      <c r="O256" s="115"/>
      <c r="P256" s="115">
        <f t="shared" si="492"/>
        <v>0</v>
      </c>
      <c r="Q256" s="115"/>
      <c r="R256" s="115"/>
      <c r="S256" s="115"/>
      <c r="T256" s="115">
        <f t="shared" si="480"/>
        <v>0</v>
      </c>
      <c r="U256" s="107">
        <f t="shared" si="481"/>
        <v>0</v>
      </c>
      <c r="V256" s="115">
        <f t="shared" si="482"/>
        <v>0</v>
      </c>
      <c r="W256" s="116"/>
      <c r="X256" s="109"/>
      <c r="Y256" s="24">
        <f t="shared" si="483"/>
        <v>0</v>
      </c>
      <c r="Z256" s="117"/>
      <c r="AA256" s="110">
        <f t="shared" si="493"/>
        <v>0</v>
      </c>
      <c r="AB256" s="110">
        <f t="shared" si="494"/>
        <v>0</v>
      </c>
      <c r="AC256" s="72"/>
      <c r="AD256" s="72"/>
      <c r="AE256" s="72"/>
      <c r="AF256" s="72"/>
      <c r="AG256" s="72"/>
      <c r="AH256" s="117"/>
      <c r="AI256" s="117"/>
      <c r="AJ256" s="117">
        <f t="shared" si="495"/>
        <v>0</v>
      </c>
      <c r="AK256" s="118"/>
      <c r="AL256" s="117"/>
      <c r="AM256" s="27">
        <f t="shared" si="379"/>
        <v>0</v>
      </c>
      <c r="AN256" s="61">
        <f t="shared" si="380"/>
        <v>0</v>
      </c>
      <c r="AO256" s="62">
        <f t="shared" si="381"/>
        <v>0</v>
      </c>
      <c r="AQ256" s="117"/>
      <c r="AR256" s="117"/>
      <c r="AS256" s="117"/>
      <c r="AT256" s="118"/>
      <c r="AU256" s="117"/>
      <c r="AV256" s="117"/>
      <c r="AW256" s="117">
        <f t="shared" si="496"/>
        <v>0</v>
      </c>
      <c r="AX256" s="76">
        <f t="shared" si="497"/>
        <v>0</v>
      </c>
      <c r="AY256" s="76">
        <f t="shared" si="498"/>
        <v>0</v>
      </c>
      <c r="BE256" s="117"/>
      <c r="BF256" s="117"/>
      <c r="BG256" s="78">
        <f t="shared" si="499"/>
        <v>0</v>
      </c>
      <c r="BH256" s="117"/>
      <c r="BI256" s="78">
        <f t="shared" si="500"/>
        <v>0</v>
      </c>
      <c r="BJ256" s="78">
        <f t="shared" si="501"/>
        <v>0</v>
      </c>
      <c r="BK256" s="117"/>
      <c r="BL256" s="79">
        <f t="shared" si="502"/>
        <v>0</v>
      </c>
      <c r="BM256" s="79">
        <f t="shared" si="503"/>
        <v>0</v>
      </c>
      <c r="BN256" s="32"/>
      <c r="BO256" s="32"/>
      <c r="BP256" s="117"/>
      <c r="BQ256" s="31">
        <f t="shared" si="383"/>
        <v>0</v>
      </c>
      <c r="BR256" s="31">
        <f t="shared" si="384"/>
        <v>0</v>
      </c>
      <c r="BS256" s="32"/>
      <c r="BT256" s="32"/>
      <c r="BU256" s="33"/>
      <c r="BV256" s="34">
        <f t="shared" si="385"/>
        <v>0</v>
      </c>
      <c r="BY256" s="82"/>
      <c r="BZ256" s="82"/>
      <c r="CC256" s="37"/>
      <c r="CD256" s="117"/>
    </row>
    <row r="257" spans="1:82" s="77" customFormat="1" ht="18" hidden="1" customHeight="1" x14ac:dyDescent="0.25">
      <c r="A257" s="99" t="s">
        <v>58</v>
      </c>
      <c r="B257" s="100"/>
      <c r="C257" s="101"/>
      <c r="D257" s="93"/>
      <c r="E257" s="98"/>
      <c r="F257" s="121" t="s">
        <v>691</v>
      </c>
      <c r="G257" s="115">
        <v>0</v>
      </c>
      <c r="H257" s="115"/>
      <c r="I257" s="115"/>
      <c r="J257" s="65"/>
      <c r="K257" s="115"/>
      <c r="L257" s="115"/>
      <c r="M257" s="115"/>
      <c r="N257" s="115"/>
      <c r="O257" s="115"/>
      <c r="P257" s="115">
        <f t="shared" si="492"/>
        <v>0</v>
      </c>
      <c r="Q257" s="115"/>
      <c r="R257" s="115"/>
      <c r="S257" s="115"/>
      <c r="T257" s="115">
        <f t="shared" si="480"/>
        <v>0</v>
      </c>
      <c r="U257" s="107">
        <f t="shared" si="481"/>
        <v>0</v>
      </c>
      <c r="V257" s="115">
        <f t="shared" si="482"/>
        <v>0</v>
      </c>
      <c r="W257" s="116"/>
      <c r="X257" s="109"/>
      <c r="Y257" s="24">
        <f t="shared" si="483"/>
        <v>0</v>
      </c>
      <c r="Z257" s="117"/>
      <c r="AA257" s="110">
        <f t="shared" si="493"/>
        <v>0</v>
      </c>
      <c r="AB257" s="110">
        <f t="shared" si="494"/>
        <v>0</v>
      </c>
      <c r="AC257" s="72"/>
      <c r="AD257" s="72"/>
      <c r="AE257" s="72"/>
      <c r="AF257" s="72"/>
      <c r="AG257" s="72"/>
      <c r="AH257" s="117"/>
      <c r="AI257" s="117"/>
      <c r="AJ257" s="117">
        <f t="shared" si="495"/>
        <v>0</v>
      </c>
      <c r="AK257" s="118"/>
      <c r="AL257" s="117"/>
      <c r="AM257" s="27">
        <f t="shared" si="379"/>
        <v>0</v>
      </c>
      <c r="AN257" s="61">
        <f t="shared" si="380"/>
        <v>0</v>
      </c>
      <c r="AO257" s="62">
        <f t="shared" si="381"/>
        <v>0</v>
      </c>
      <c r="AQ257" s="117"/>
      <c r="AR257" s="117"/>
      <c r="AS257" s="117"/>
      <c r="AT257" s="118"/>
      <c r="AU257" s="117"/>
      <c r="AV257" s="117"/>
      <c r="AW257" s="117">
        <f t="shared" si="496"/>
        <v>0</v>
      </c>
      <c r="AX257" s="76">
        <f t="shared" si="497"/>
        <v>0</v>
      </c>
      <c r="AY257" s="76">
        <f t="shared" si="498"/>
        <v>0</v>
      </c>
      <c r="BE257" s="117"/>
      <c r="BF257" s="117"/>
      <c r="BG257" s="78">
        <f t="shared" si="499"/>
        <v>0</v>
      </c>
      <c r="BH257" s="117"/>
      <c r="BI257" s="78">
        <f t="shared" si="500"/>
        <v>0</v>
      </c>
      <c r="BJ257" s="78">
        <f t="shared" si="501"/>
        <v>0</v>
      </c>
      <c r="BK257" s="117"/>
      <c r="BL257" s="79">
        <f t="shared" si="502"/>
        <v>0</v>
      </c>
      <c r="BM257" s="79">
        <f t="shared" si="503"/>
        <v>0</v>
      </c>
      <c r="BN257" s="32"/>
      <c r="BO257" s="32"/>
      <c r="BP257" s="117"/>
      <c r="BQ257" s="31">
        <f t="shared" si="383"/>
        <v>0</v>
      </c>
      <c r="BR257" s="31">
        <f t="shared" si="384"/>
        <v>0</v>
      </c>
      <c r="BS257" s="32"/>
      <c r="BT257" s="32"/>
      <c r="BU257" s="33"/>
      <c r="BV257" s="34">
        <f t="shared" si="385"/>
        <v>0</v>
      </c>
      <c r="BY257" s="82"/>
      <c r="BZ257" s="82"/>
      <c r="CC257" s="37"/>
      <c r="CD257" s="117"/>
    </row>
    <row r="258" spans="1:82" s="77" customFormat="1" ht="18" customHeight="1" x14ac:dyDescent="0.25">
      <c r="A258" s="99" t="s">
        <v>58</v>
      </c>
      <c r="B258" s="100"/>
      <c r="C258" s="101"/>
      <c r="D258" s="93"/>
      <c r="E258" s="98"/>
      <c r="F258" s="121" t="s">
        <v>692</v>
      </c>
      <c r="G258" s="106">
        <v>6300</v>
      </c>
      <c r="H258" s="106">
        <v>6300</v>
      </c>
      <c r="I258" s="106">
        <v>5600</v>
      </c>
      <c r="J258" s="65"/>
      <c r="K258" s="106">
        <v>6661.12</v>
      </c>
      <c r="L258" s="106"/>
      <c r="M258" s="106">
        <f>N258/2</f>
        <v>3330.5</v>
      </c>
      <c r="N258" s="106">
        <f>O258</f>
        <v>6661</v>
      </c>
      <c r="O258" s="106">
        <v>6661</v>
      </c>
      <c r="P258" s="106">
        <f t="shared" si="492"/>
        <v>1061</v>
      </c>
      <c r="Q258" s="106"/>
      <c r="R258" s="106"/>
      <c r="S258" s="106">
        <v>6011.59</v>
      </c>
      <c r="T258" s="106">
        <f t="shared" si="480"/>
        <v>411.59000000000015</v>
      </c>
      <c r="U258" s="107">
        <f t="shared" si="481"/>
        <v>-649.52999999999975</v>
      </c>
      <c r="V258" s="106">
        <f t="shared" si="482"/>
        <v>-649.40999999999985</v>
      </c>
      <c r="W258" s="108"/>
      <c r="X258" s="109">
        <v>6011.59</v>
      </c>
      <c r="Y258" s="24">
        <f t="shared" si="483"/>
        <v>0</v>
      </c>
      <c r="Z258" s="85">
        <v>6012</v>
      </c>
      <c r="AA258" s="29">
        <f t="shared" si="493"/>
        <v>412</v>
      </c>
      <c r="AB258" s="29">
        <f t="shared" si="494"/>
        <v>0.40999999999985448</v>
      </c>
      <c r="AC258" s="72"/>
      <c r="AD258" s="72"/>
      <c r="AE258" s="72"/>
      <c r="AF258" s="72"/>
      <c r="AG258" s="72"/>
      <c r="AH258" s="85">
        <v>6011.59</v>
      </c>
      <c r="AI258" s="85">
        <v>5600</v>
      </c>
      <c r="AJ258" s="85">
        <f t="shared" si="495"/>
        <v>-0.40999999999985448</v>
      </c>
      <c r="AK258" s="86">
        <v>5600</v>
      </c>
      <c r="AL258" s="123">
        <v>5579</v>
      </c>
      <c r="AM258" s="27">
        <f t="shared" ref="AM258:AM321" si="504">AL258-AI258</f>
        <v>-21</v>
      </c>
      <c r="AN258" s="61">
        <f t="shared" ref="AN258:AN321" si="505">AL258-Z258</f>
        <v>-433</v>
      </c>
      <c r="AO258" s="62">
        <f t="shared" ref="AO258:AO321" si="506">AI258-Z258</f>
        <v>-412</v>
      </c>
      <c r="AQ258" s="85"/>
      <c r="AR258" s="85"/>
      <c r="AS258" s="85"/>
      <c r="AT258" s="86">
        <v>5200</v>
      </c>
      <c r="AU258" s="71">
        <v>5578.28</v>
      </c>
      <c r="AV258" s="71">
        <f>CEILING(AT258,100)</f>
        <v>5200</v>
      </c>
      <c r="AW258" s="71">
        <f t="shared" si="496"/>
        <v>-812</v>
      </c>
      <c r="AX258" s="76">
        <f t="shared" si="497"/>
        <v>-812</v>
      </c>
      <c r="AY258" s="76">
        <f t="shared" si="498"/>
        <v>-379</v>
      </c>
      <c r="BE258" s="71">
        <v>5200</v>
      </c>
      <c r="BF258" s="71">
        <v>6000</v>
      </c>
      <c r="BG258" s="78">
        <f t="shared" si="499"/>
        <v>0</v>
      </c>
      <c r="BH258" s="71">
        <v>7100</v>
      </c>
      <c r="BI258" s="78">
        <f t="shared" si="500"/>
        <v>800</v>
      </c>
      <c r="BJ258" s="78">
        <f t="shared" si="501"/>
        <v>421.72000000000025</v>
      </c>
      <c r="BK258" s="71">
        <v>7605.68</v>
      </c>
      <c r="BL258" s="79">
        <f t="shared" si="502"/>
        <v>505.68000000000029</v>
      </c>
      <c r="BM258" s="79">
        <f t="shared" si="503"/>
        <v>2405.6800000000003</v>
      </c>
      <c r="BN258" s="32"/>
      <c r="BO258" s="32"/>
      <c r="BP258" s="71">
        <v>7643.55</v>
      </c>
      <c r="BQ258" s="32">
        <f t="shared" ref="BQ258:BQ321" si="507">BP258-BK258</f>
        <v>37.869999999999891</v>
      </c>
      <c r="BR258" s="32">
        <f t="shared" ref="BR258:BR321" si="508">BP258-AV258</f>
        <v>2443.5500000000002</v>
      </c>
      <c r="BS258" s="32"/>
      <c r="BT258" s="32"/>
      <c r="BU258" s="33"/>
      <c r="BV258" s="34">
        <f t="shared" ref="BV258:BV321" si="509">BH258-AV258</f>
        <v>1900</v>
      </c>
      <c r="BY258" s="82"/>
      <c r="BZ258" s="82"/>
      <c r="CC258" s="37"/>
      <c r="CD258" s="71">
        <v>5578.28</v>
      </c>
    </row>
    <row r="259" spans="1:82" s="63" customFormat="1" ht="18" customHeight="1" x14ac:dyDescent="0.25">
      <c r="A259" s="96" t="s">
        <v>58</v>
      </c>
      <c r="B259" s="97"/>
      <c r="C259" s="98"/>
      <c r="D259" s="103"/>
      <c r="E259" s="98" t="s">
        <v>693</v>
      </c>
      <c r="F259" s="105"/>
      <c r="G259" s="55">
        <v>426000</v>
      </c>
      <c r="H259" s="55">
        <v>426000</v>
      </c>
      <c r="I259" s="55">
        <f t="shared" ref="I259:Q259" si="510">SUM(I260:I279)</f>
        <v>395600</v>
      </c>
      <c r="J259" s="55">
        <f t="shared" si="510"/>
        <v>0</v>
      </c>
      <c r="K259" s="55">
        <f t="shared" si="510"/>
        <v>419445.26999999996</v>
      </c>
      <c r="L259" s="55">
        <f t="shared" si="510"/>
        <v>197800</v>
      </c>
      <c r="M259" s="55">
        <f t="shared" si="510"/>
        <v>209722.62</v>
      </c>
      <c r="N259" s="55">
        <f t="shared" si="510"/>
        <v>419445.24</v>
      </c>
      <c r="O259" s="55">
        <f t="shared" si="510"/>
        <v>419445.24</v>
      </c>
      <c r="P259" s="55">
        <f t="shared" si="510"/>
        <v>23845.24</v>
      </c>
      <c r="Q259" s="55">
        <f t="shared" si="510"/>
        <v>0</v>
      </c>
      <c r="R259" s="55"/>
      <c r="S259" s="55">
        <f>SUM(S260:S279)</f>
        <v>401472.04</v>
      </c>
      <c r="T259" s="55">
        <f t="shared" si="480"/>
        <v>5872.039999999979</v>
      </c>
      <c r="U259" s="56">
        <f t="shared" si="481"/>
        <v>-17973.229999999981</v>
      </c>
      <c r="V259" s="55">
        <f t="shared" si="482"/>
        <v>-17973.200000000012</v>
      </c>
      <c r="W259" s="57"/>
      <c r="X259" s="58">
        <f>SUM(X260:X279)</f>
        <v>401472.04</v>
      </c>
      <c r="Y259" s="59">
        <f t="shared" si="483"/>
        <v>0</v>
      </c>
      <c r="Z259" s="33">
        <f t="shared" ref="Z259:AL259" si="511">SUM(Z260:Z279)</f>
        <v>401473</v>
      </c>
      <c r="AA259" s="33">
        <f t="shared" si="511"/>
        <v>5873</v>
      </c>
      <c r="AB259" s="33">
        <f t="shared" si="511"/>
        <v>0.95999999999329333</v>
      </c>
      <c r="AC259" s="33">
        <f t="shared" si="511"/>
        <v>0</v>
      </c>
      <c r="AD259" s="33">
        <f t="shared" si="511"/>
        <v>0</v>
      </c>
      <c r="AE259" s="33">
        <f t="shared" si="511"/>
        <v>0</v>
      </c>
      <c r="AF259" s="33">
        <f t="shared" si="511"/>
        <v>0</v>
      </c>
      <c r="AG259" s="33">
        <f t="shared" si="511"/>
        <v>0</v>
      </c>
      <c r="AH259" s="33">
        <f t="shared" si="511"/>
        <v>401472.04</v>
      </c>
      <c r="AI259" s="33">
        <f t="shared" si="511"/>
        <v>362310</v>
      </c>
      <c r="AJ259" s="33">
        <f t="shared" si="511"/>
        <v>-0.95999999999329333</v>
      </c>
      <c r="AK259" s="60">
        <f t="shared" si="511"/>
        <v>362310</v>
      </c>
      <c r="AL259" s="33">
        <f t="shared" si="511"/>
        <v>362043</v>
      </c>
      <c r="AM259" s="27">
        <f t="shared" si="504"/>
        <v>-267</v>
      </c>
      <c r="AN259" s="61">
        <f t="shared" si="505"/>
        <v>-39430</v>
      </c>
      <c r="AO259" s="62">
        <f t="shared" si="506"/>
        <v>-39163</v>
      </c>
      <c r="AQ259" s="33"/>
      <c r="AR259" s="33"/>
      <c r="AS259" s="33"/>
      <c r="AT259" s="60">
        <f t="shared" ref="AT259:BP259" si="512">SUM(AT260:AT279)</f>
        <v>354210</v>
      </c>
      <c r="AU259" s="33">
        <f t="shared" si="512"/>
        <v>362049.90000000008</v>
      </c>
      <c r="AV259" s="33">
        <f t="shared" si="512"/>
        <v>354300</v>
      </c>
      <c r="AW259" s="33">
        <f t="shared" si="512"/>
        <v>-47173</v>
      </c>
      <c r="AX259" s="33">
        <f t="shared" si="512"/>
        <v>-47263</v>
      </c>
      <c r="AY259" s="33">
        <f t="shared" si="512"/>
        <v>-7833</v>
      </c>
      <c r="AZ259" s="33">
        <f t="shared" si="512"/>
        <v>0</v>
      </c>
      <c r="BA259" s="33">
        <f t="shared" si="512"/>
        <v>0</v>
      </c>
      <c r="BB259" s="33">
        <f t="shared" si="512"/>
        <v>0</v>
      </c>
      <c r="BC259" s="33">
        <f t="shared" si="512"/>
        <v>0</v>
      </c>
      <c r="BD259" s="33">
        <f t="shared" si="512"/>
        <v>0</v>
      </c>
      <c r="BE259" s="33">
        <f t="shared" si="512"/>
        <v>354300</v>
      </c>
      <c r="BF259" s="33">
        <f t="shared" si="512"/>
        <v>362800</v>
      </c>
      <c r="BG259" s="33">
        <f t="shared" si="512"/>
        <v>0</v>
      </c>
      <c r="BH259" s="33">
        <f t="shared" si="512"/>
        <v>364700</v>
      </c>
      <c r="BI259" s="33">
        <f t="shared" si="512"/>
        <v>8500</v>
      </c>
      <c r="BJ259" s="33">
        <f t="shared" si="512"/>
        <v>750.09999999999775</v>
      </c>
      <c r="BK259" s="33">
        <f t="shared" si="512"/>
        <v>364189.99999999988</v>
      </c>
      <c r="BL259" s="33">
        <f t="shared" si="512"/>
        <v>-510.00000000000909</v>
      </c>
      <c r="BM259" s="33">
        <f t="shared" si="512"/>
        <v>9889.9999999999909</v>
      </c>
      <c r="BN259" s="33">
        <f t="shared" si="512"/>
        <v>0</v>
      </c>
      <c r="BO259" s="33">
        <f t="shared" si="512"/>
        <v>0</v>
      </c>
      <c r="BP259" s="33">
        <f t="shared" si="512"/>
        <v>364225.12999999983</v>
      </c>
      <c r="BQ259" s="32">
        <f t="shared" si="507"/>
        <v>35.129999999946449</v>
      </c>
      <c r="BR259" s="32">
        <f t="shared" si="508"/>
        <v>9925.12999999983</v>
      </c>
      <c r="BS259" s="32"/>
      <c r="BT259" s="32"/>
      <c r="BU259" s="33"/>
      <c r="BV259" s="34">
        <f t="shared" si="509"/>
        <v>10400</v>
      </c>
      <c r="BY259" s="64"/>
      <c r="BZ259" s="64"/>
      <c r="CC259" s="37"/>
      <c r="CD259" s="33">
        <f>SUM(CD260:CD279)</f>
        <v>362049.90000000008</v>
      </c>
    </row>
    <row r="260" spans="1:82" s="77" customFormat="1" ht="18" customHeight="1" x14ac:dyDescent="0.25">
      <c r="A260" s="99" t="s">
        <v>58</v>
      </c>
      <c r="B260" s="100"/>
      <c r="C260" s="101"/>
      <c r="D260" s="93"/>
      <c r="E260" s="98"/>
      <c r="F260" s="121" t="s">
        <v>694</v>
      </c>
      <c r="G260" s="106">
        <v>229600</v>
      </c>
      <c r="H260" s="106">
        <v>229600</v>
      </c>
      <c r="I260" s="106">
        <v>229600</v>
      </c>
      <c r="J260" s="65"/>
      <c r="K260" s="106">
        <v>230539.85</v>
      </c>
      <c r="L260" s="106">
        <f t="shared" ref="L260:L279" si="513">I260/2</f>
        <v>114800</v>
      </c>
      <c r="M260" s="106">
        <f t="shared" ref="M260:M279" si="514">N260/2</f>
        <v>115269.925</v>
      </c>
      <c r="N260" s="106">
        <f t="shared" ref="N260:N279" si="515">O260</f>
        <v>230539.85</v>
      </c>
      <c r="O260" s="106">
        <v>230539.85</v>
      </c>
      <c r="P260" s="106">
        <f t="shared" ref="P260:P279" si="516">N260-I260</f>
        <v>939.85000000000582</v>
      </c>
      <c r="Q260" s="106"/>
      <c r="R260" s="106"/>
      <c r="S260" s="106">
        <v>230539.85</v>
      </c>
      <c r="T260" s="106">
        <f t="shared" si="480"/>
        <v>939.85000000000582</v>
      </c>
      <c r="U260" s="107">
        <f t="shared" si="481"/>
        <v>0</v>
      </c>
      <c r="V260" s="106">
        <f t="shared" si="482"/>
        <v>0</v>
      </c>
      <c r="W260" s="108"/>
      <c r="X260" s="109">
        <v>230539.85</v>
      </c>
      <c r="Y260" s="24">
        <f t="shared" si="483"/>
        <v>0</v>
      </c>
      <c r="Z260" s="85">
        <v>230540</v>
      </c>
      <c r="AA260" s="29">
        <f t="shared" ref="AA260:AA279" si="517">Z260-I260</f>
        <v>940</v>
      </c>
      <c r="AB260" s="29">
        <f t="shared" ref="AB260:AB279" si="518">Z260-S260</f>
        <v>0.14999999999417923</v>
      </c>
      <c r="AC260" s="72"/>
      <c r="AD260" s="72"/>
      <c r="AE260" s="72"/>
      <c r="AF260" s="72"/>
      <c r="AG260" s="72"/>
      <c r="AH260" s="85">
        <v>230539.85</v>
      </c>
      <c r="AI260" s="85">
        <v>230800</v>
      </c>
      <c r="AJ260" s="85">
        <f t="shared" ref="AJ260:AJ279" si="519">AH260-Z260</f>
        <v>-0.14999999999417923</v>
      </c>
      <c r="AK260" s="86">
        <v>230800</v>
      </c>
      <c r="AL260" s="123">
        <v>230719</v>
      </c>
      <c r="AM260" s="27">
        <f t="shared" si="504"/>
        <v>-81</v>
      </c>
      <c r="AN260" s="61">
        <f t="shared" si="505"/>
        <v>179</v>
      </c>
      <c r="AO260" s="62">
        <f t="shared" si="506"/>
        <v>260</v>
      </c>
      <c r="AQ260" s="85"/>
      <c r="AR260" s="85"/>
      <c r="AS260" s="85"/>
      <c r="AT260" s="86">
        <v>229800</v>
      </c>
      <c r="AU260" s="71">
        <v>230718.22</v>
      </c>
      <c r="AV260" s="71">
        <f t="shared" ref="AV260:AV279" si="520">CEILING(AT260,100)</f>
        <v>229800</v>
      </c>
      <c r="AW260" s="71">
        <f t="shared" ref="AW260:AW279" si="521">AV260-Z260</f>
        <v>-740</v>
      </c>
      <c r="AX260" s="76">
        <f t="shared" ref="AX260:AX279" si="522">AT260-Z260</f>
        <v>-740</v>
      </c>
      <c r="AY260" s="76">
        <f t="shared" ref="AY260:AY279" si="523">AT260-AL260</f>
        <v>-919</v>
      </c>
      <c r="BE260" s="71">
        <v>229800</v>
      </c>
      <c r="BF260" s="71">
        <v>230900</v>
      </c>
      <c r="BG260" s="78">
        <f t="shared" ref="BG260:BG279" si="524">BE260-AV260</f>
        <v>0</v>
      </c>
      <c r="BH260" s="71">
        <f t="shared" ref="BH260:BH265" si="525">BF260</f>
        <v>230900</v>
      </c>
      <c r="BI260" s="78">
        <f t="shared" ref="BI260:BI279" si="526">BF260-AV260</f>
        <v>1100</v>
      </c>
      <c r="BJ260" s="78">
        <f t="shared" ref="BJ260:BJ279" si="527">BF260-AU260</f>
        <v>181.77999999999884</v>
      </c>
      <c r="BK260" s="71">
        <v>230815.24</v>
      </c>
      <c r="BL260" s="79">
        <f t="shared" ref="BL260:BL279" si="528">BK260-BH260</f>
        <v>-84.760000000009313</v>
      </c>
      <c r="BM260" s="79">
        <f t="shared" ref="BM260:BM279" si="529">BK260-AV260</f>
        <v>1015.2399999999907</v>
      </c>
      <c r="BN260" s="32"/>
      <c r="BO260" s="32"/>
      <c r="BP260" s="71">
        <v>230815.24</v>
      </c>
      <c r="BQ260" s="32">
        <f t="shared" si="507"/>
        <v>0</v>
      </c>
      <c r="BR260" s="32">
        <f t="shared" si="508"/>
        <v>1015.2399999999907</v>
      </c>
      <c r="BS260" s="87"/>
      <c r="BT260" s="32"/>
      <c r="BU260" s="33"/>
      <c r="BV260" s="34">
        <f t="shared" si="509"/>
        <v>1100</v>
      </c>
      <c r="BY260" s="82"/>
      <c r="BZ260" s="82"/>
      <c r="CC260" s="37"/>
      <c r="CD260" s="71">
        <v>230718.22</v>
      </c>
    </row>
    <row r="261" spans="1:82" s="77" customFormat="1" ht="18" hidden="1" customHeight="1" x14ac:dyDescent="0.25">
      <c r="A261" s="99" t="s">
        <v>58</v>
      </c>
      <c r="B261" s="100"/>
      <c r="C261" s="101"/>
      <c r="D261" s="93"/>
      <c r="E261" s="98"/>
      <c r="F261" s="121" t="s">
        <v>695</v>
      </c>
      <c r="G261" s="106">
        <v>0</v>
      </c>
      <c r="H261" s="106"/>
      <c r="I261" s="106">
        <v>0</v>
      </c>
      <c r="J261" s="65"/>
      <c r="K261" s="106">
        <v>0</v>
      </c>
      <c r="L261" s="106">
        <f t="shared" si="513"/>
        <v>0</v>
      </c>
      <c r="M261" s="106">
        <f t="shared" si="514"/>
        <v>0</v>
      </c>
      <c r="N261" s="106">
        <f t="shared" si="515"/>
        <v>0</v>
      </c>
      <c r="O261" s="106">
        <f>I261</f>
        <v>0</v>
      </c>
      <c r="P261" s="106">
        <f t="shared" si="516"/>
        <v>0</v>
      </c>
      <c r="Q261" s="106"/>
      <c r="R261" s="106"/>
      <c r="S261" s="106"/>
      <c r="T261" s="106">
        <f t="shared" si="480"/>
        <v>0</v>
      </c>
      <c r="U261" s="107">
        <f t="shared" si="481"/>
        <v>0</v>
      </c>
      <c r="V261" s="106">
        <f t="shared" si="482"/>
        <v>0</v>
      </c>
      <c r="W261" s="108"/>
      <c r="X261" s="109"/>
      <c r="Y261" s="24">
        <f t="shared" si="483"/>
        <v>0</v>
      </c>
      <c r="Z261" s="85"/>
      <c r="AA261" s="29">
        <f t="shared" si="517"/>
        <v>0</v>
      </c>
      <c r="AB261" s="29">
        <f t="shared" si="518"/>
        <v>0</v>
      </c>
      <c r="AC261" s="72"/>
      <c r="AD261" s="72"/>
      <c r="AE261" s="72"/>
      <c r="AF261" s="72"/>
      <c r="AG261" s="72"/>
      <c r="AH261" s="85"/>
      <c r="AI261" s="85"/>
      <c r="AJ261" s="85">
        <f t="shared" si="519"/>
        <v>0</v>
      </c>
      <c r="AK261" s="86"/>
      <c r="AL261" s="133"/>
      <c r="AM261" s="27">
        <f t="shared" si="504"/>
        <v>0</v>
      </c>
      <c r="AN261" s="61">
        <f t="shared" si="505"/>
        <v>0</v>
      </c>
      <c r="AO261" s="62">
        <f t="shared" si="506"/>
        <v>0</v>
      </c>
      <c r="AQ261" s="85"/>
      <c r="AR261" s="85"/>
      <c r="AS261" s="85"/>
      <c r="AT261" s="86">
        <f>AL261</f>
        <v>0</v>
      </c>
      <c r="AU261" s="71">
        <f>CEILING(BD261,100)</f>
        <v>0</v>
      </c>
      <c r="AV261" s="71">
        <f t="shared" si="520"/>
        <v>0</v>
      </c>
      <c r="AW261" s="71">
        <f t="shared" si="521"/>
        <v>0</v>
      </c>
      <c r="AX261" s="76">
        <f t="shared" si="522"/>
        <v>0</v>
      </c>
      <c r="AY261" s="76">
        <f t="shared" si="523"/>
        <v>0</v>
      </c>
      <c r="BE261" s="71">
        <v>0</v>
      </c>
      <c r="BF261" s="71"/>
      <c r="BG261" s="78">
        <f t="shared" si="524"/>
        <v>0</v>
      </c>
      <c r="BH261" s="196">
        <f t="shared" si="525"/>
        <v>0</v>
      </c>
      <c r="BI261" s="78">
        <f t="shared" si="526"/>
        <v>0</v>
      </c>
      <c r="BJ261" s="78">
        <f t="shared" si="527"/>
        <v>0</v>
      </c>
      <c r="BK261" s="71"/>
      <c r="BL261" s="79">
        <f t="shared" si="528"/>
        <v>0</v>
      </c>
      <c r="BM261" s="79">
        <f t="shared" si="529"/>
        <v>0</v>
      </c>
      <c r="BN261" s="32"/>
      <c r="BO261" s="32"/>
      <c r="BP261" s="71"/>
      <c r="BQ261" s="32">
        <f t="shared" si="507"/>
        <v>0</v>
      </c>
      <c r="BR261" s="32">
        <f t="shared" si="508"/>
        <v>0</v>
      </c>
      <c r="BS261" s="87"/>
      <c r="BT261" s="32"/>
      <c r="BU261" s="33"/>
      <c r="BV261" s="34">
        <f t="shared" si="509"/>
        <v>0</v>
      </c>
      <c r="BY261" s="82"/>
      <c r="BZ261" s="82"/>
      <c r="CC261" s="37"/>
      <c r="CD261" s="71"/>
    </row>
    <row r="262" spans="1:82" s="77" customFormat="1" ht="18" customHeight="1" x14ac:dyDescent="0.25">
      <c r="A262" s="99" t="s">
        <v>58</v>
      </c>
      <c r="B262" s="100"/>
      <c r="C262" s="101"/>
      <c r="D262" s="93"/>
      <c r="E262" s="98"/>
      <c r="F262" s="121" t="s">
        <v>696</v>
      </c>
      <c r="G262" s="106">
        <v>65300</v>
      </c>
      <c r="H262" s="106">
        <v>65300</v>
      </c>
      <c r="I262" s="106">
        <v>61500</v>
      </c>
      <c r="J262" s="65"/>
      <c r="K262" s="106">
        <v>65273.88</v>
      </c>
      <c r="L262" s="106">
        <f t="shared" si="513"/>
        <v>30750</v>
      </c>
      <c r="M262" s="106">
        <f t="shared" si="514"/>
        <v>32636.94</v>
      </c>
      <c r="N262" s="106">
        <f t="shared" si="515"/>
        <v>65273.88</v>
      </c>
      <c r="O262" s="106">
        <v>65273.88</v>
      </c>
      <c r="P262" s="106">
        <f t="shared" si="516"/>
        <v>3773.8799999999974</v>
      </c>
      <c r="Q262" s="106"/>
      <c r="R262" s="106"/>
      <c r="S262" s="106">
        <v>61485.29</v>
      </c>
      <c r="T262" s="106">
        <f t="shared" si="480"/>
        <v>-14.709999999999127</v>
      </c>
      <c r="U262" s="107">
        <f t="shared" si="481"/>
        <v>-3788.5899999999965</v>
      </c>
      <c r="V262" s="106">
        <f t="shared" si="482"/>
        <v>-3788.5899999999965</v>
      </c>
      <c r="W262" s="108"/>
      <c r="X262" s="109">
        <v>61485.29</v>
      </c>
      <c r="Y262" s="24">
        <f t="shared" si="483"/>
        <v>0</v>
      </c>
      <c r="Z262" s="85">
        <v>61485</v>
      </c>
      <c r="AA262" s="29">
        <f t="shared" si="517"/>
        <v>-15</v>
      </c>
      <c r="AB262" s="29">
        <f t="shared" si="518"/>
        <v>-0.29000000000087311</v>
      </c>
      <c r="AC262" s="72"/>
      <c r="AD262" s="72"/>
      <c r="AE262" s="72"/>
      <c r="AF262" s="72"/>
      <c r="AG262" s="72"/>
      <c r="AH262" s="85">
        <v>61485.29</v>
      </c>
      <c r="AI262" s="85">
        <v>24500</v>
      </c>
      <c r="AJ262" s="85">
        <f t="shared" si="519"/>
        <v>0.29000000000087311</v>
      </c>
      <c r="AK262" s="86">
        <v>24500</v>
      </c>
      <c r="AL262" s="123">
        <v>24438</v>
      </c>
      <c r="AM262" s="27">
        <f t="shared" si="504"/>
        <v>-62</v>
      </c>
      <c r="AN262" s="61">
        <f t="shared" si="505"/>
        <v>-37047</v>
      </c>
      <c r="AO262" s="62">
        <f t="shared" si="506"/>
        <v>-36985</v>
      </c>
      <c r="AQ262" s="85"/>
      <c r="AR262" s="85"/>
      <c r="AS262" s="85"/>
      <c r="AT262" s="86">
        <v>12800</v>
      </c>
      <c r="AU262" s="71">
        <v>24437.56</v>
      </c>
      <c r="AV262" s="71">
        <f t="shared" si="520"/>
        <v>12800</v>
      </c>
      <c r="AW262" s="71">
        <f t="shared" si="521"/>
        <v>-48685</v>
      </c>
      <c r="AX262" s="76">
        <f t="shared" si="522"/>
        <v>-48685</v>
      </c>
      <c r="AY262" s="76">
        <f t="shared" si="523"/>
        <v>-11638</v>
      </c>
      <c r="BE262" s="71">
        <v>12800</v>
      </c>
      <c r="BF262" s="71">
        <v>12800</v>
      </c>
      <c r="BG262" s="78">
        <f t="shared" si="524"/>
        <v>0</v>
      </c>
      <c r="BH262" s="71">
        <f t="shared" si="525"/>
        <v>12800</v>
      </c>
      <c r="BI262" s="78">
        <f t="shared" si="526"/>
        <v>0</v>
      </c>
      <c r="BJ262" s="78">
        <f t="shared" si="527"/>
        <v>-11637.560000000001</v>
      </c>
      <c r="BK262" s="71">
        <v>12741.17</v>
      </c>
      <c r="BL262" s="79">
        <f t="shared" si="528"/>
        <v>-58.829999999999927</v>
      </c>
      <c r="BM262" s="79">
        <f t="shared" si="529"/>
        <v>-58.829999999999927</v>
      </c>
      <c r="BN262" s="32"/>
      <c r="BO262" s="32"/>
      <c r="BP262" s="71">
        <v>12741.17</v>
      </c>
      <c r="BQ262" s="32">
        <f t="shared" si="507"/>
        <v>0</v>
      </c>
      <c r="BR262" s="32">
        <f t="shared" si="508"/>
        <v>-58.829999999999927</v>
      </c>
      <c r="BS262" s="87"/>
      <c r="BT262" s="32"/>
      <c r="BU262" s="33"/>
      <c r="BV262" s="34">
        <f t="shared" si="509"/>
        <v>0</v>
      </c>
      <c r="BY262" s="82"/>
      <c r="BZ262" s="82"/>
      <c r="CC262" s="37"/>
      <c r="CD262" s="71">
        <v>24437.56</v>
      </c>
    </row>
    <row r="263" spans="1:82" s="77" customFormat="1" ht="18" customHeight="1" x14ac:dyDescent="0.25">
      <c r="A263" s="99" t="s">
        <v>58</v>
      </c>
      <c r="B263" s="100"/>
      <c r="C263" s="101"/>
      <c r="D263" s="93"/>
      <c r="E263" s="98"/>
      <c r="F263" s="121" t="s">
        <v>697</v>
      </c>
      <c r="G263" s="106">
        <v>32000</v>
      </c>
      <c r="H263" s="106">
        <v>32000</v>
      </c>
      <c r="I263" s="106">
        <v>21300</v>
      </c>
      <c r="J263" s="65"/>
      <c r="K263" s="106">
        <v>26581.47</v>
      </c>
      <c r="L263" s="106">
        <f t="shared" si="513"/>
        <v>10650</v>
      </c>
      <c r="M263" s="106">
        <f t="shared" si="514"/>
        <v>13290.735000000001</v>
      </c>
      <c r="N263" s="106">
        <f t="shared" si="515"/>
        <v>26581.47</v>
      </c>
      <c r="O263" s="106">
        <v>26581.47</v>
      </c>
      <c r="P263" s="106">
        <f t="shared" si="516"/>
        <v>5281.4700000000012</v>
      </c>
      <c r="Q263" s="106"/>
      <c r="R263" s="106"/>
      <c r="S263" s="106">
        <v>21225.45</v>
      </c>
      <c r="T263" s="106">
        <f t="shared" si="480"/>
        <v>-74.549999999999272</v>
      </c>
      <c r="U263" s="107">
        <f t="shared" si="481"/>
        <v>-5356.02</v>
      </c>
      <c r="V263" s="106">
        <f t="shared" si="482"/>
        <v>-5356.02</v>
      </c>
      <c r="W263" s="108"/>
      <c r="X263" s="109">
        <v>21225.45</v>
      </c>
      <c r="Y263" s="24">
        <f t="shared" si="483"/>
        <v>0</v>
      </c>
      <c r="Z263" s="85">
        <v>21225</v>
      </c>
      <c r="AA263" s="29">
        <f t="shared" si="517"/>
        <v>-75</v>
      </c>
      <c r="AB263" s="29">
        <f t="shared" si="518"/>
        <v>-0.4500000000007276</v>
      </c>
      <c r="AC263" s="72"/>
      <c r="AD263" s="72"/>
      <c r="AE263" s="72"/>
      <c r="AF263" s="72"/>
      <c r="AG263" s="72"/>
      <c r="AH263" s="85">
        <v>21225.45</v>
      </c>
      <c r="AI263" s="85">
        <f>CEILING(19302.19+((36318.18+10894.6)*8/100),100)</f>
        <v>23100</v>
      </c>
      <c r="AJ263" s="85">
        <f t="shared" si="519"/>
        <v>0.4500000000007276</v>
      </c>
      <c r="AK263" s="86">
        <v>23100</v>
      </c>
      <c r="AL263" s="123">
        <v>22033</v>
      </c>
      <c r="AM263" s="27">
        <f t="shared" si="504"/>
        <v>-1067</v>
      </c>
      <c r="AN263" s="61">
        <f t="shared" si="505"/>
        <v>808</v>
      </c>
      <c r="AO263" s="62">
        <f t="shared" si="506"/>
        <v>1875</v>
      </c>
      <c r="AQ263" s="85" t="s">
        <v>698</v>
      </c>
      <c r="AR263" s="85" t="s">
        <v>698</v>
      </c>
      <c r="AS263" s="85" t="s">
        <v>698</v>
      </c>
      <c r="AT263" s="86">
        <v>26600</v>
      </c>
      <c r="AU263" s="71">
        <v>22032.02</v>
      </c>
      <c r="AV263" s="71">
        <f t="shared" si="520"/>
        <v>26600</v>
      </c>
      <c r="AW263" s="71">
        <f t="shared" si="521"/>
        <v>5375</v>
      </c>
      <c r="AX263" s="76">
        <f t="shared" si="522"/>
        <v>5375</v>
      </c>
      <c r="AY263" s="76">
        <f t="shared" si="523"/>
        <v>4567</v>
      </c>
      <c r="BE263" s="71">
        <v>26600</v>
      </c>
      <c r="BF263" s="71">
        <v>29500</v>
      </c>
      <c r="BG263" s="78">
        <f t="shared" si="524"/>
        <v>0</v>
      </c>
      <c r="BH263" s="71">
        <f t="shared" si="525"/>
        <v>29500</v>
      </c>
      <c r="BI263" s="78">
        <f t="shared" si="526"/>
        <v>2900</v>
      </c>
      <c r="BJ263" s="78">
        <f t="shared" si="527"/>
        <v>7467.98</v>
      </c>
      <c r="BK263" s="71">
        <v>29489.3</v>
      </c>
      <c r="BL263" s="79">
        <f t="shared" si="528"/>
        <v>-10.700000000000728</v>
      </c>
      <c r="BM263" s="79">
        <f t="shared" si="529"/>
        <v>2889.2999999999993</v>
      </c>
      <c r="BN263" s="151" t="s">
        <v>699</v>
      </c>
      <c r="BO263" s="151" t="s">
        <v>699</v>
      </c>
      <c r="BP263" s="71">
        <v>29489.3</v>
      </c>
      <c r="BQ263" s="32">
        <f t="shared" si="507"/>
        <v>0</v>
      </c>
      <c r="BR263" s="32">
        <f t="shared" si="508"/>
        <v>2889.2999999999993</v>
      </c>
      <c r="BS263" s="87" t="s">
        <v>699</v>
      </c>
      <c r="BT263" s="87" t="s">
        <v>699</v>
      </c>
      <c r="BU263" s="33"/>
      <c r="BV263" s="34">
        <f t="shared" si="509"/>
        <v>2900</v>
      </c>
      <c r="BY263" s="82"/>
      <c r="BZ263" s="82"/>
      <c r="CC263" s="37"/>
      <c r="CD263" s="71">
        <v>22032.02</v>
      </c>
    </row>
    <row r="264" spans="1:82" s="77" customFormat="1" ht="18" hidden="1" customHeight="1" x14ac:dyDescent="0.25">
      <c r="A264" s="99" t="s">
        <v>58</v>
      </c>
      <c r="B264" s="100"/>
      <c r="C264" s="101"/>
      <c r="D264" s="93"/>
      <c r="E264" s="98"/>
      <c r="F264" s="121" t="s">
        <v>700</v>
      </c>
      <c r="G264" s="106">
        <v>0</v>
      </c>
      <c r="H264" s="106"/>
      <c r="I264" s="106">
        <v>0</v>
      </c>
      <c r="J264" s="65"/>
      <c r="K264" s="106">
        <v>0</v>
      </c>
      <c r="L264" s="106">
        <f t="shared" si="513"/>
        <v>0</v>
      </c>
      <c r="M264" s="106">
        <f t="shared" si="514"/>
        <v>0</v>
      </c>
      <c r="N264" s="106">
        <f t="shared" si="515"/>
        <v>0</v>
      </c>
      <c r="O264" s="106">
        <f>I264</f>
        <v>0</v>
      </c>
      <c r="P264" s="106">
        <f t="shared" si="516"/>
        <v>0</v>
      </c>
      <c r="Q264" s="106"/>
      <c r="R264" s="106"/>
      <c r="S264" s="106"/>
      <c r="T264" s="106">
        <f t="shared" si="480"/>
        <v>0</v>
      </c>
      <c r="U264" s="107">
        <f t="shared" si="481"/>
        <v>0</v>
      </c>
      <c r="V264" s="106">
        <f t="shared" si="482"/>
        <v>0</v>
      </c>
      <c r="W264" s="108"/>
      <c r="X264" s="109"/>
      <c r="Y264" s="24">
        <f t="shared" si="483"/>
        <v>0</v>
      </c>
      <c r="Z264" s="85"/>
      <c r="AA264" s="29">
        <f t="shared" si="517"/>
        <v>0</v>
      </c>
      <c r="AB264" s="29">
        <f t="shared" si="518"/>
        <v>0</v>
      </c>
      <c r="AC264" s="72"/>
      <c r="AD264" s="72"/>
      <c r="AE264" s="72"/>
      <c r="AF264" s="72"/>
      <c r="AG264" s="72"/>
      <c r="AH264" s="85"/>
      <c r="AI264" s="85"/>
      <c r="AJ264" s="85">
        <f t="shared" si="519"/>
        <v>0</v>
      </c>
      <c r="AK264" s="86"/>
      <c r="AL264" s="133"/>
      <c r="AM264" s="27">
        <f t="shared" si="504"/>
        <v>0</v>
      </c>
      <c r="AN264" s="61">
        <f t="shared" si="505"/>
        <v>0</v>
      </c>
      <c r="AO264" s="62">
        <f t="shared" si="506"/>
        <v>0</v>
      </c>
      <c r="AQ264" s="85"/>
      <c r="AR264" s="85"/>
      <c r="AS264" s="85"/>
      <c r="AT264" s="86">
        <f>AL264</f>
        <v>0</v>
      </c>
      <c r="AU264" s="71">
        <f>CEILING(BD264,100)</f>
        <v>0</v>
      </c>
      <c r="AV264" s="71">
        <f t="shared" si="520"/>
        <v>0</v>
      </c>
      <c r="AW264" s="71">
        <f t="shared" si="521"/>
        <v>0</v>
      </c>
      <c r="AX264" s="76">
        <f t="shared" si="522"/>
        <v>0</v>
      </c>
      <c r="AY264" s="76">
        <f t="shared" si="523"/>
        <v>0</v>
      </c>
      <c r="BE264" s="71">
        <v>0</v>
      </c>
      <c r="BF264" s="71"/>
      <c r="BG264" s="78">
        <f t="shared" si="524"/>
        <v>0</v>
      </c>
      <c r="BH264" s="196">
        <f t="shared" si="525"/>
        <v>0</v>
      </c>
      <c r="BI264" s="78">
        <f t="shared" si="526"/>
        <v>0</v>
      </c>
      <c r="BJ264" s="78">
        <f t="shared" si="527"/>
        <v>0</v>
      </c>
      <c r="BK264" s="71"/>
      <c r="BL264" s="79">
        <f t="shared" si="528"/>
        <v>0</v>
      </c>
      <c r="BM264" s="79">
        <f t="shared" si="529"/>
        <v>0</v>
      </c>
      <c r="BN264" s="32"/>
      <c r="BO264" s="87"/>
      <c r="BP264" s="71"/>
      <c r="BQ264" s="32">
        <f t="shared" si="507"/>
        <v>0</v>
      </c>
      <c r="BR264" s="32">
        <f t="shared" si="508"/>
        <v>0</v>
      </c>
      <c r="BS264" s="87"/>
      <c r="BT264" s="32"/>
      <c r="BU264" s="33"/>
      <c r="BV264" s="34">
        <f t="shared" si="509"/>
        <v>0</v>
      </c>
      <c r="BY264" s="82"/>
      <c r="BZ264" s="82"/>
      <c r="CC264" s="37"/>
      <c r="CD264" s="71"/>
    </row>
    <row r="265" spans="1:82" s="77" customFormat="1" ht="18" customHeight="1" x14ac:dyDescent="0.25">
      <c r="A265" s="99" t="s">
        <v>58</v>
      </c>
      <c r="B265" s="100"/>
      <c r="C265" s="101"/>
      <c r="D265" s="93"/>
      <c r="E265" s="98"/>
      <c r="F265" s="121" t="s">
        <v>701</v>
      </c>
      <c r="G265" s="106">
        <v>14700</v>
      </c>
      <c r="H265" s="106">
        <v>14700</v>
      </c>
      <c r="I265" s="106">
        <v>11200</v>
      </c>
      <c r="J265" s="65"/>
      <c r="K265" s="106">
        <v>14175.51</v>
      </c>
      <c r="L265" s="106">
        <f t="shared" si="513"/>
        <v>5600</v>
      </c>
      <c r="M265" s="106">
        <f t="shared" si="514"/>
        <v>7087.7550000000001</v>
      </c>
      <c r="N265" s="106">
        <f t="shared" si="515"/>
        <v>14175.51</v>
      </c>
      <c r="O265" s="106">
        <v>14175.51</v>
      </c>
      <c r="P265" s="106">
        <f t="shared" si="516"/>
        <v>2975.51</v>
      </c>
      <c r="Q265" s="106"/>
      <c r="R265" s="106"/>
      <c r="S265" s="106">
        <v>11130.48</v>
      </c>
      <c r="T265" s="106">
        <f t="shared" si="480"/>
        <v>-69.520000000000437</v>
      </c>
      <c r="U265" s="107">
        <f t="shared" si="481"/>
        <v>-3045.0300000000007</v>
      </c>
      <c r="V265" s="106">
        <f t="shared" si="482"/>
        <v>-3045.0300000000007</v>
      </c>
      <c r="W265" s="108"/>
      <c r="X265" s="109">
        <v>11130.48</v>
      </c>
      <c r="Y265" s="24">
        <f t="shared" si="483"/>
        <v>0</v>
      </c>
      <c r="Z265" s="85">
        <v>11130</v>
      </c>
      <c r="AA265" s="29">
        <f t="shared" si="517"/>
        <v>-70</v>
      </c>
      <c r="AB265" s="29">
        <f t="shared" si="518"/>
        <v>-0.47999999999956344</v>
      </c>
      <c r="AC265" s="72"/>
      <c r="AD265" s="72"/>
      <c r="AE265" s="72"/>
      <c r="AF265" s="72"/>
      <c r="AG265" s="72"/>
      <c r="AH265" s="85">
        <v>11130.48</v>
      </c>
      <c r="AI265" s="85">
        <v>11500</v>
      </c>
      <c r="AJ265" s="85">
        <f t="shared" si="519"/>
        <v>0.47999999999956344</v>
      </c>
      <c r="AK265" s="86">
        <v>11500</v>
      </c>
      <c r="AL265" s="123">
        <v>11487</v>
      </c>
      <c r="AM265" s="27">
        <f t="shared" si="504"/>
        <v>-13</v>
      </c>
      <c r="AN265" s="61">
        <f t="shared" si="505"/>
        <v>357</v>
      </c>
      <c r="AO265" s="62">
        <f t="shared" si="506"/>
        <v>370</v>
      </c>
      <c r="AQ265" s="85"/>
      <c r="AR265" s="85"/>
      <c r="AS265" s="85"/>
      <c r="AT265" s="86">
        <f>9600+500</f>
        <v>10100</v>
      </c>
      <c r="AU265" s="71">
        <v>11486.65</v>
      </c>
      <c r="AV265" s="71">
        <f t="shared" si="520"/>
        <v>10100</v>
      </c>
      <c r="AW265" s="71">
        <f t="shared" si="521"/>
        <v>-1030</v>
      </c>
      <c r="AX265" s="76">
        <f t="shared" si="522"/>
        <v>-1030</v>
      </c>
      <c r="AY265" s="76">
        <f t="shared" si="523"/>
        <v>-1387</v>
      </c>
      <c r="AZ265" s="145" t="s">
        <v>702</v>
      </c>
      <c r="BE265" s="71">
        <v>10100</v>
      </c>
      <c r="BF265" s="71">
        <v>9600</v>
      </c>
      <c r="BG265" s="78">
        <f t="shared" si="524"/>
        <v>0</v>
      </c>
      <c r="BH265" s="71">
        <f t="shared" si="525"/>
        <v>9600</v>
      </c>
      <c r="BI265" s="78">
        <f t="shared" si="526"/>
        <v>-500</v>
      </c>
      <c r="BJ265" s="78">
        <f t="shared" si="527"/>
        <v>-1886.6499999999996</v>
      </c>
      <c r="BK265" s="71">
        <v>9564.6200000000008</v>
      </c>
      <c r="BL265" s="79">
        <f t="shared" si="528"/>
        <v>-35.3799999999992</v>
      </c>
      <c r="BM265" s="79">
        <f t="shared" si="529"/>
        <v>-535.3799999999992</v>
      </c>
      <c r="BN265" s="32"/>
      <c r="BO265" s="87"/>
      <c r="BP265" s="71">
        <v>9564.6200000000008</v>
      </c>
      <c r="BQ265" s="32">
        <f t="shared" si="507"/>
        <v>0</v>
      </c>
      <c r="BR265" s="32">
        <f t="shared" si="508"/>
        <v>-535.3799999999992</v>
      </c>
      <c r="BS265" s="87"/>
      <c r="BT265" s="32"/>
      <c r="BU265" s="33"/>
      <c r="BV265" s="34">
        <f t="shared" si="509"/>
        <v>-500</v>
      </c>
      <c r="BY265" s="82"/>
      <c r="BZ265" s="82"/>
      <c r="CC265" s="37"/>
      <c r="CD265" s="71">
        <v>11486.65</v>
      </c>
    </row>
    <row r="266" spans="1:82" s="77" customFormat="1" ht="18" customHeight="1" x14ac:dyDescent="0.25">
      <c r="A266" s="99" t="s">
        <v>58</v>
      </c>
      <c r="B266" s="100"/>
      <c r="C266" s="101"/>
      <c r="D266" s="93"/>
      <c r="E266" s="98"/>
      <c r="F266" s="121" t="s">
        <v>703</v>
      </c>
      <c r="G266" s="106">
        <v>12000</v>
      </c>
      <c r="H266" s="106">
        <v>12000</v>
      </c>
      <c r="I266" s="106">
        <v>11000</v>
      </c>
      <c r="J266" s="65"/>
      <c r="K266" s="106">
        <v>11950.38</v>
      </c>
      <c r="L266" s="106">
        <f t="shared" si="513"/>
        <v>5500</v>
      </c>
      <c r="M266" s="106">
        <f t="shared" si="514"/>
        <v>5975.19</v>
      </c>
      <c r="N266" s="106">
        <f t="shared" si="515"/>
        <v>11950.38</v>
      </c>
      <c r="O266" s="106">
        <v>11950.38</v>
      </c>
      <c r="P266" s="106">
        <f t="shared" si="516"/>
        <v>950.3799999999992</v>
      </c>
      <c r="Q266" s="106"/>
      <c r="R266" s="106"/>
      <c r="S266" s="106">
        <v>11197.99</v>
      </c>
      <c r="T266" s="106">
        <f t="shared" si="480"/>
        <v>197.98999999999978</v>
      </c>
      <c r="U266" s="107">
        <f t="shared" si="481"/>
        <v>-752.38999999999942</v>
      </c>
      <c r="V266" s="106">
        <f t="shared" si="482"/>
        <v>-752.38999999999942</v>
      </c>
      <c r="W266" s="108"/>
      <c r="X266" s="109">
        <v>11197.99</v>
      </c>
      <c r="Y266" s="24">
        <f t="shared" si="483"/>
        <v>0</v>
      </c>
      <c r="Z266" s="85">
        <v>11198</v>
      </c>
      <c r="AA266" s="29">
        <f t="shared" si="517"/>
        <v>198</v>
      </c>
      <c r="AB266" s="29">
        <f t="shared" si="518"/>
        <v>1.0000000000218279E-2</v>
      </c>
      <c r="AC266" s="72"/>
      <c r="AD266" s="72"/>
      <c r="AE266" s="72"/>
      <c r="AF266" s="72"/>
      <c r="AG266" s="72"/>
      <c r="AH266" s="85">
        <v>11197.99</v>
      </c>
      <c r="AI266" s="85">
        <v>11400</v>
      </c>
      <c r="AJ266" s="85">
        <f t="shared" si="519"/>
        <v>-1.0000000000218279E-2</v>
      </c>
      <c r="AK266" s="86">
        <v>11400</v>
      </c>
      <c r="AL266" s="123">
        <v>11345</v>
      </c>
      <c r="AM266" s="27">
        <f t="shared" si="504"/>
        <v>-55</v>
      </c>
      <c r="AN266" s="61">
        <f t="shared" si="505"/>
        <v>147</v>
      </c>
      <c r="AO266" s="62">
        <f t="shared" si="506"/>
        <v>202</v>
      </c>
      <c r="AQ266" s="85"/>
      <c r="AR266" s="85"/>
      <c r="AS266" s="85"/>
      <c r="AT266" s="86">
        <f>11200+500</f>
        <v>11700</v>
      </c>
      <c r="AU266" s="71">
        <v>11358.14</v>
      </c>
      <c r="AV266" s="71">
        <f t="shared" si="520"/>
        <v>11700</v>
      </c>
      <c r="AW266" s="71">
        <f t="shared" si="521"/>
        <v>502</v>
      </c>
      <c r="AX266" s="76">
        <f t="shared" si="522"/>
        <v>502</v>
      </c>
      <c r="AY266" s="76">
        <f t="shared" si="523"/>
        <v>355</v>
      </c>
      <c r="AZ266" s="145" t="s">
        <v>702</v>
      </c>
      <c r="BE266" s="71">
        <v>11700</v>
      </c>
      <c r="BF266" s="71">
        <v>13300</v>
      </c>
      <c r="BG266" s="78">
        <f t="shared" si="524"/>
        <v>0</v>
      </c>
      <c r="BH266" s="71">
        <v>13400</v>
      </c>
      <c r="BI266" s="78">
        <f t="shared" si="526"/>
        <v>1600</v>
      </c>
      <c r="BJ266" s="78">
        <f t="shared" si="527"/>
        <v>1941.8600000000006</v>
      </c>
      <c r="BK266" s="71">
        <v>13355.9</v>
      </c>
      <c r="BL266" s="79">
        <f t="shared" si="528"/>
        <v>-44.100000000000364</v>
      </c>
      <c r="BM266" s="79">
        <f t="shared" si="529"/>
        <v>1655.8999999999996</v>
      </c>
      <c r="BN266" s="151" t="s">
        <v>704</v>
      </c>
      <c r="BO266" s="151" t="s">
        <v>704</v>
      </c>
      <c r="BP266" s="71">
        <v>13365.1</v>
      </c>
      <c r="BQ266" s="32">
        <f t="shared" si="507"/>
        <v>9.2000000000007276</v>
      </c>
      <c r="BR266" s="32">
        <f t="shared" si="508"/>
        <v>1665.1000000000004</v>
      </c>
      <c r="BS266" s="87" t="s">
        <v>704</v>
      </c>
      <c r="BT266" s="87" t="s">
        <v>704</v>
      </c>
      <c r="BU266" s="33"/>
      <c r="BV266" s="34">
        <f t="shared" si="509"/>
        <v>1700</v>
      </c>
      <c r="BY266" s="82"/>
      <c r="BZ266" s="82"/>
      <c r="CC266" s="37"/>
      <c r="CD266" s="71">
        <v>11358.14</v>
      </c>
    </row>
    <row r="267" spans="1:82" s="77" customFormat="1" ht="18" customHeight="1" x14ac:dyDescent="0.25">
      <c r="A267" s="99" t="s">
        <v>58</v>
      </c>
      <c r="B267" s="100"/>
      <c r="C267" s="101"/>
      <c r="D267" s="93"/>
      <c r="E267" s="98"/>
      <c r="F267" s="121" t="s">
        <v>705</v>
      </c>
      <c r="G267" s="106">
        <v>6700</v>
      </c>
      <c r="H267" s="106">
        <v>6700</v>
      </c>
      <c r="I267" s="106">
        <v>5500</v>
      </c>
      <c r="J267" s="65"/>
      <c r="K267" s="106">
        <v>6238.44</v>
      </c>
      <c r="L267" s="106">
        <f t="shared" si="513"/>
        <v>2750</v>
      </c>
      <c r="M267" s="106">
        <f t="shared" si="514"/>
        <v>3119.22</v>
      </c>
      <c r="N267" s="106">
        <f t="shared" si="515"/>
        <v>6238.44</v>
      </c>
      <c r="O267" s="106">
        <v>6238.44</v>
      </c>
      <c r="P267" s="106">
        <f t="shared" si="516"/>
        <v>738.4399999999996</v>
      </c>
      <c r="Q267" s="106"/>
      <c r="R267" s="106"/>
      <c r="S267" s="106">
        <v>6239.5</v>
      </c>
      <c r="T267" s="106">
        <f t="shared" si="480"/>
        <v>739.5</v>
      </c>
      <c r="U267" s="107">
        <f t="shared" si="481"/>
        <v>1.0600000000004002</v>
      </c>
      <c r="V267" s="106">
        <f t="shared" si="482"/>
        <v>1.0600000000004002</v>
      </c>
      <c r="W267" s="108"/>
      <c r="X267" s="109">
        <v>6239.5</v>
      </c>
      <c r="Y267" s="24">
        <f t="shared" si="483"/>
        <v>0</v>
      </c>
      <c r="Z267" s="85">
        <v>6240</v>
      </c>
      <c r="AA267" s="29">
        <f t="shared" si="517"/>
        <v>740</v>
      </c>
      <c r="AB267" s="29">
        <f t="shared" si="518"/>
        <v>0.5</v>
      </c>
      <c r="AC267" s="72"/>
      <c r="AD267" s="72"/>
      <c r="AE267" s="72"/>
      <c r="AF267" s="72"/>
      <c r="AG267" s="72"/>
      <c r="AH267" s="85">
        <v>6239.5</v>
      </c>
      <c r="AI267" s="85">
        <v>5900</v>
      </c>
      <c r="AJ267" s="85">
        <f t="shared" si="519"/>
        <v>-0.5</v>
      </c>
      <c r="AK267" s="86">
        <v>5900</v>
      </c>
      <c r="AL267" s="123">
        <v>5984</v>
      </c>
      <c r="AM267" s="27">
        <f t="shared" si="504"/>
        <v>84</v>
      </c>
      <c r="AN267" s="61">
        <f t="shared" si="505"/>
        <v>-256</v>
      </c>
      <c r="AO267" s="62">
        <f t="shared" si="506"/>
        <v>-340</v>
      </c>
      <c r="AQ267" s="85"/>
      <c r="AR267" s="85"/>
      <c r="AS267" s="85"/>
      <c r="AT267" s="86">
        <f>5700+500</f>
        <v>6200</v>
      </c>
      <c r="AU267" s="71">
        <v>5983.09</v>
      </c>
      <c r="AV267" s="71">
        <f t="shared" si="520"/>
        <v>6200</v>
      </c>
      <c r="AW267" s="71">
        <f t="shared" si="521"/>
        <v>-40</v>
      </c>
      <c r="AX267" s="76">
        <f t="shared" si="522"/>
        <v>-40</v>
      </c>
      <c r="AY267" s="76">
        <f t="shared" si="523"/>
        <v>216</v>
      </c>
      <c r="AZ267" s="145" t="s">
        <v>702</v>
      </c>
      <c r="BE267" s="71">
        <v>6200</v>
      </c>
      <c r="BF267" s="71">
        <v>6400</v>
      </c>
      <c r="BG267" s="78">
        <f t="shared" si="524"/>
        <v>0</v>
      </c>
      <c r="BH267" s="71">
        <f>BF267</f>
        <v>6400</v>
      </c>
      <c r="BI267" s="78">
        <f t="shared" si="526"/>
        <v>200</v>
      </c>
      <c r="BJ267" s="78">
        <f t="shared" si="527"/>
        <v>416.90999999999985</v>
      </c>
      <c r="BK267" s="71">
        <v>6317.35</v>
      </c>
      <c r="BL267" s="79">
        <f t="shared" si="528"/>
        <v>-82.649999999999636</v>
      </c>
      <c r="BM267" s="79">
        <f t="shared" si="529"/>
        <v>117.35000000000036</v>
      </c>
      <c r="BN267" s="32"/>
      <c r="BO267" s="87"/>
      <c r="BP267" s="71">
        <v>6317.35</v>
      </c>
      <c r="BQ267" s="32">
        <f t="shared" si="507"/>
        <v>0</v>
      </c>
      <c r="BR267" s="32">
        <f t="shared" si="508"/>
        <v>117.35000000000036</v>
      </c>
      <c r="BS267" s="87"/>
      <c r="BT267" s="32"/>
      <c r="BU267" s="33"/>
      <c r="BV267" s="34">
        <f t="shared" si="509"/>
        <v>200</v>
      </c>
      <c r="BY267" s="82"/>
      <c r="BZ267" s="82"/>
      <c r="CC267" s="37"/>
      <c r="CD267" s="71">
        <v>5983.09</v>
      </c>
    </row>
    <row r="268" spans="1:82" s="77" customFormat="1" ht="18" customHeight="1" x14ac:dyDescent="0.25">
      <c r="A268" s="99" t="s">
        <v>58</v>
      </c>
      <c r="B268" s="100"/>
      <c r="C268" s="101"/>
      <c r="D268" s="93"/>
      <c r="E268" s="98"/>
      <c r="F268" s="121" t="s">
        <v>706</v>
      </c>
      <c r="G268" s="106">
        <v>10700</v>
      </c>
      <c r="H268" s="106">
        <v>10700</v>
      </c>
      <c r="I268" s="106">
        <v>9600</v>
      </c>
      <c r="J268" s="65"/>
      <c r="K268" s="106">
        <v>11027.29</v>
      </c>
      <c r="L268" s="106">
        <f t="shared" si="513"/>
        <v>4800</v>
      </c>
      <c r="M268" s="106">
        <f t="shared" si="514"/>
        <v>5513.6450000000004</v>
      </c>
      <c r="N268" s="106">
        <f t="shared" si="515"/>
        <v>11027.29</v>
      </c>
      <c r="O268" s="106">
        <v>11027.29</v>
      </c>
      <c r="P268" s="106">
        <f t="shared" si="516"/>
        <v>1427.2900000000009</v>
      </c>
      <c r="Q268" s="106"/>
      <c r="R268" s="106"/>
      <c r="S268" s="106">
        <v>10372.83</v>
      </c>
      <c r="T268" s="106">
        <f t="shared" si="480"/>
        <v>772.82999999999993</v>
      </c>
      <c r="U268" s="107">
        <f t="shared" si="481"/>
        <v>-654.46000000000095</v>
      </c>
      <c r="V268" s="106">
        <f t="shared" si="482"/>
        <v>-654.46000000000095</v>
      </c>
      <c r="W268" s="108"/>
      <c r="X268" s="109">
        <v>10372.83</v>
      </c>
      <c r="Y268" s="24">
        <f t="shared" si="483"/>
        <v>0</v>
      </c>
      <c r="Z268" s="85">
        <v>10373</v>
      </c>
      <c r="AA268" s="29">
        <f t="shared" si="517"/>
        <v>773</v>
      </c>
      <c r="AB268" s="29">
        <f t="shared" si="518"/>
        <v>0.17000000000007276</v>
      </c>
      <c r="AC268" s="72"/>
      <c r="AD268" s="72"/>
      <c r="AE268" s="72"/>
      <c r="AF268" s="72"/>
      <c r="AG268" s="72"/>
      <c r="AH268" s="85">
        <v>10372.83</v>
      </c>
      <c r="AI268" s="85">
        <v>10400</v>
      </c>
      <c r="AJ268" s="85">
        <f t="shared" si="519"/>
        <v>-0.17000000000007276</v>
      </c>
      <c r="AK268" s="86">
        <v>10400</v>
      </c>
      <c r="AL268" s="123">
        <v>10366</v>
      </c>
      <c r="AM268" s="27">
        <f t="shared" si="504"/>
        <v>-34</v>
      </c>
      <c r="AN268" s="61">
        <f t="shared" si="505"/>
        <v>-7</v>
      </c>
      <c r="AO268" s="62">
        <f t="shared" si="506"/>
        <v>27</v>
      </c>
      <c r="AQ268" s="85"/>
      <c r="AR268" s="85"/>
      <c r="AS268" s="85"/>
      <c r="AT268" s="86">
        <v>7600</v>
      </c>
      <c r="AU268" s="71">
        <v>10365.379999999999</v>
      </c>
      <c r="AV268" s="71">
        <f t="shared" si="520"/>
        <v>7600</v>
      </c>
      <c r="AW268" s="71">
        <f t="shared" si="521"/>
        <v>-2773</v>
      </c>
      <c r="AX268" s="76">
        <f t="shared" si="522"/>
        <v>-2773</v>
      </c>
      <c r="AY268" s="76">
        <f t="shared" si="523"/>
        <v>-2766</v>
      </c>
      <c r="BE268" s="71">
        <v>7600</v>
      </c>
      <c r="BF268" s="71">
        <v>9700</v>
      </c>
      <c r="BG268" s="78">
        <f t="shared" si="524"/>
        <v>0</v>
      </c>
      <c r="BH268" s="71">
        <f>BF268</f>
        <v>9700</v>
      </c>
      <c r="BI268" s="78">
        <f t="shared" si="526"/>
        <v>2100</v>
      </c>
      <c r="BJ268" s="78">
        <f t="shared" si="527"/>
        <v>-665.3799999999992</v>
      </c>
      <c r="BK268" s="71">
        <v>9604.92</v>
      </c>
      <c r="BL268" s="79">
        <f t="shared" si="528"/>
        <v>-95.079999999999927</v>
      </c>
      <c r="BM268" s="79">
        <f t="shared" si="529"/>
        <v>2004.92</v>
      </c>
      <c r="BN268" s="151" t="s">
        <v>707</v>
      </c>
      <c r="BO268" s="151" t="s">
        <v>707</v>
      </c>
      <c r="BP268" s="71">
        <v>9604.92</v>
      </c>
      <c r="BQ268" s="32">
        <f t="shared" si="507"/>
        <v>0</v>
      </c>
      <c r="BR268" s="32">
        <f t="shared" si="508"/>
        <v>2004.92</v>
      </c>
      <c r="BS268" s="87" t="s">
        <v>707</v>
      </c>
      <c r="BT268" s="87" t="s">
        <v>707</v>
      </c>
      <c r="BU268" s="33"/>
      <c r="BV268" s="34">
        <f t="shared" si="509"/>
        <v>2100</v>
      </c>
      <c r="BY268" s="82"/>
      <c r="BZ268" s="82"/>
      <c r="CC268" s="37"/>
      <c r="CD268" s="71">
        <v>10365.379999999999</v>
      </c>
    </row>
    <row r="269" spans="1:82" s="77" customFormat="1" ht="18" customHeight="1" x14ac:dyDescent="0.25">
      <c r="A269" s="99" t="s">
        <v>58</v>
      </c>
      <c r="B269" s="100"/>
      <c r="C269" s="101"/>
      <c r="D269" s="93"/>
      <c r="E269" s="98"/>
      <c r="F269" s="121" t="s">
        <v>708</v>
      </c>
      <c r="G269" s="106">
        <v>4900</v>
      </c>
      <c r="H269" s="106">
        <v>4900</v>
      </c>
      <c r="I269" s="106">
        <v>4700</v>
      </c>
      <c r="J269" s="65"/>
      <c r="K269" s="106">
        <v>5041.29</v>
      </c>
      <c r="L269" s="106">
        <f t="shared" si="513"/>
        <v>2350</v>
      </c>
      <c r="M269" s="106">
        <f t="shared" si="514"/>
        <v>2520.63</v>
      </c>
      <c r="N269" s="106">
        <f t="shared" si="515"/>
        <v>5041.26</v>
      </c>
      <c r="O269" s="106">
        <v>5041.26</v>
      </c>
      <c r="P269" s="106">
        <f t="shared" si="516"/>
        <v>341.26000000000022</v>
      </c>
      <c r="Q269" s="106"/>
      <c r="R269" s="106"/>
      <c r="S269" s="106">
        <v>4694.57</v>
      </c>
      <c r="T269" s="106">
        <f t="shared" si="480"/>
        <v>-5.430000000000291</v>
      </c>
      <c r="U269" s="107">
        <f t="shared" si="481"/>
        <v>-346.72000000000025</v>
      </c>
      <c r="V269" s="106">
        <f t="shared" si="482"/>
        <v>-346.69000000000051</v>
      </c>
      <c r="W269" s="108"/>
      <c r="X269" s="109">
        <v>4694.57</v>
      </c>
      <c r="Y269" s="24">
        <f t="shared" si="483"/>
        <v>0</v>
      </c>
      <c r="Z269" s="85">
        <v>4695</v>
      </c>
      <c r="AA269" s="29">
        <f t="shared" si="517"/>
        <v>-5</v>
      </c>
      <c r="AB269" s="29">
        <f t="shared" si="518"/>
        <v>0.43000000000029104</v>
      </c>
      <c r="AC269" s="72"/>
      <c r="AD269" s="72"/>
      <c r="AE269" s="72"/>
      <c r="AF269" s="72"/>
      <c r="AG269" s="72"/>
      <c r="AH269" s="85">
        <v>4694.57</v>
      </c>
      <c r="AI269" s="85">
        <v>5000</v>
      </c>
      <c r="AJ269" s="85">
        <f t="shared" si="519"/>
        <v>-0.43000000000029104</v>
      </c>
      <c r="AK269" s="86">
        <v>5000</v>
      </c>
      <c r="AL269" s="123">
        <v>4927</v>
      </c>
      <c r="AM269" s="27">
        <f t="shared" si="504"/>
        <v>-73</v>
      </c>
      <c r="AN269" s="61">
        <f t="shared" si="505"/>
        <v>232</v>
      </c>
      <c r="AO269" s="62">
        <f t="shared" si="506"/>
        <v>305</v>
      </c>
      <c r="AQ269" s="85"/>
      <c r="AR269" s="85"/>
      <c r="AS269" s="85"/>
      <c r="AT269" s="86">
        <v>5200</v>
      </c>
      <c r="AU269" s="71">
        <v>4926.45</v>
      </c>
      <c r="AV269" s="71">
        <f t="shared" si="520"/>
        <v>5200</v>
      </c>
      <c r="AW269" s="71">
        <f t="shared" si="521"/>
        <v>505</v>
      </c>
      <c r="AX269" s="76">
        <f t="shared" si="522"/>
        <v>505</v>
      </c>
      <c r="AY269" s="76">
        <f t="shared" si="523"/>
        <v>273</v>
      </c>
      <c r="BE269" s="71">
        <v>5200</v>
      </c>
      <c r="BF269" s="71">
        <v>5200</v>
      </c>
      <c r="BG269" s="78">
        <f t="shared" si="524"/>
        <v>0</v>
      </c>
      <c r="BH269" s="71">
        <f>BF269</f>
        <v>5200</v>
      </c>
      <c r="BI269" s="78">
        <f t="shared" si="526"/>
        <v>0</v>
      </c>
      <c r="BJ269" s="78">
        <f t="shared" si="527"/>
        <v>273.55000000000018</v>
      </c>
      <c r="BK269" s="71">
        <v>5352.72</v>
      </c>
      <c r="BL269" s="79">
        <f t="shared" si="528"/>
        <v>152.72000000000025</v>
      </c>
      <c r="BM269" s="79">
        <f t="shared" si="529"/>
        <v>152.72000000000025</v>
      </c>
      <c r="BN269" s="32"/>
      <c r="BO269" s="87"/>
      <c r="BP269" s="71">
        <v>5352.72</v>
      </c>
      <c r="BQ269" s="32">
        <f t="shared" si="507"/>
        <v>0</v>
      </c>
      <c r="BR269" s="32">
        <f t="shared" si="508"/>
        <v>152.72000000000025</v>
      </c>
      <c r="BS269" s="87"/>
      <c r="BT269" s="32"/>
      <c r="BU269" s="33"/>
      <c r="BV269" s="34">
        <f t="shared" si="509"/>
        <v>0</v>
      </c>
      <c r="BY269" s="82"/>
      <c r="BZ269" s="82"/>
      <c r="CC269" s="37"/>
      <c r="CD269" s="71">
        <v>4926.45</v>
      </c>
    </row>
    <row r="270" spans="1:82" s="77" customFormat="1" ht="18" customHeight="1" x14ac:dyDescent="0.25">
      <c r="A270" s="99" t="s">
        <v>58</v>
      </c>
      <c r="B270" s="100"/>
      <c r="C270" s="101"/>
      <c r="D270" s="93"/>
      <c r="E270" s="98"/>
      <c r="F270" s="121" t="s">
        <v>709</v>
      </c>
      <c r="G270" s="106">
        <v>800</v>
      </c>
      <c r="H270" s="106">
        <v>800</v>
      </c>
      <c r="I270" s="106">
        <v>900</v>
      </c>
      <c r="J270" s="65"/>
      <c r="K270" s="106">
        <v>876.94</v>
      </c>
      <c r="L270" s="106">
        <f t="shared" si="513"/>
        <v>450</v>
      </c>
      <c r="M270" s="106">
        <f t="shared" si="514"/>
        <v>438.47</v>
      </c>
      <c r="N270" s="106">
        <f t="shared" si="515"/>
        <v>876.94</v>
      </c>
      <c r="O270" s="106">
        <v>876.94</v>
      </c>
      <c r="P270" s="106">
        <f t="shared" si="516"/>
        <v>-23.059999999999945</v>
      </c>
      <c r="Q270" s="106"/>
      <c r="R270" s="106"/>
      <c r="S270" s="106">
        <v>973.73</v>
      </c>
      <c r="T270" s="106">
        <f t="shared" si="480"/>
        <v>73.730000000000018</v>
      </c>
      <c r="U270" s="107">
        <f t="shared" si="481"/>
        <v>96.789999999999964</v>
      </c>
      <c r="V270" s="106">
        <f t="shared" si="482"/>
        <v>96.789999999999964</v>
      </c>
      <c r="W270" s="108"/>
      <c r="X270" s="109">
        <v>973.73</v>
      </c>
      <c r="Y270" s="24">
        <f t="shared" si="483"/>
        <v>0</v>
      </c>
      <c r="Z270" s="85">
        <v>974</v>
      </c>
      <c r="AA270" s="29">
        <f t="shared" si="517"/>
        <v>74</v>
      </c>
      <c r="AB270" s="29">
        <f t="shared" si="518"/>
        <v>0.26999999999998181</v>
      </c>
      <c r="AC270" s="72"/>
      <c r="AD270" s="72"/>
      <c r="AE270" s="72"/>
      <c r="AF270" s="72"/>
      <c r="AG270" s="72"/>
      <c r="AH270" s="85">
        <v>973.73</v>
      </c>
      <c r="AI270" s="85">
        <v>1600</v>
      </c>
      <c r="AJ270" s="85">
        <f t="shared" si="519"/>
        <v>-0.26999999999998181</v>
      </c>
      <c r="AK270" s="86">
        <v>1600</v>
      </c>
      <c r="AL270" s="123">
        <v>1579</v>
      </c>
      <c r="AM270" s="27">
        <f t="shared" si="504"/>
        <v>-21</v>
      </c>
      <c r="AN270" s="61">
        <f t="shared" si="505"/>
        <v>605</v>
      </c>
      <c r="AO270" s="62">
        <f t="shared" si="506"/>
        <v>626</v>
      </c>
      <c r="AQ270" s="85"/>
      <c r="AR270" s="85"/>
      <c r="AS270" s="85"/>
      <c r="AT270" s="86">
        <v>1500</v>
      </c>
      <c r="AU270" s="71">
        <v>1578.5</v>
      </c>
      <c r="AV270" s="71">
        <f t="shared" si="520"/>
        <v>1500</v>
      </c>
      <c r="AW270" s="71">
        <f t="shared" si="521"/>
        <v>526</v>
      </c>
      <c r="AX270" s="76">
        <f t="shared" si="522"/>
        <v>526</v>
      </c>
      <c r="AY270" s="76">
        <f t="shared" si="523"/>
        <v>-79</v>
      </c>
      <c r="BE270" s="71">
        <v>1500</v>
      </c>
      <c r="BF270" s="71">
        <v>1600</v>
      </c>
      <c r="BG270" s="78">
        <f t="shared" si="524"/>
        <v>0</v>
      </c>
      <c r="BH270" s="71">
        <f>BF270</f>
        <v>1600</v>
      </c>
      <c r="BI270" s="78">
        <f t="shared" si="526"/>
        <v>100</v>
      </c>
      <c r="BJ270" s="78">
        <f t="shared" si="527"/>
        <v>21.5</v>
      </c>
      <c r="BK270" s="71">
        <v>1541.63</v>
      </c>
      <c r="BL270" s="79">
        <f t="shared" si="528"/>
        <v>-58.369999999999891</v>
      </c>
      <c r="BM270" s="79">
        <f t="shared" si="529"/>
        <v>41.630000000000109</v>
      </c>
      <c r="BN270" s="32"/>
      <c r="BO270" s="87"/>
      <c r="BP270" s="71">
        <v>1541.63</v>
      </c>
      <c r="BQ270" s="32">
        <f t="shared" si="507"/>
        <v>0</v>
      </c>
      <c r="BR270" s="32">
        <f t="shared" si="508"/>
        <v>41.630000000000109</v>
      </c>
      <c r="BS270" s="87"/>
      <c r="BT270" s="32"/>
      <c r="BU270" s="33"/>
      <c r="BV270" s="34">
        <f t="shared" si="509"/>
        <v>100</v>
      </c>
      <c r="BY270" s="82"/>
      <c r="BZ270" s="82"/>
      <c r="CC270" s="37"/>
      <c r="CD270" s="71">
        <v>1578.5</v>
      </c>
    </row>
    <row r="271" spans="1:82" s="77" customFormat="1" ht="18" customHeight="1" x14ac:dyDescent="0.25">
      <c r="A271" s="99" t="s">
        <v>58</v>
      </c>
      <c r="B271" s="100"/>
      <c r="C271" s="101"/>
      <c r="D271" s="93"/>
      <c r="E271" s="98"/>
      <c r="F271" s="121" t="s">
        <v>710</v>
      </c>
      <c r="G271" s="106">
        <v>16500</v>
      </c>
      <c r="H271" s="106">
        <v>16500</v>
      </c>
      <c r="I271" s="106">
        <v>13800</v>
      </c>
      <c r="J271" s="65"/>
      <c r="K271" s="106">
        <v>16705.62</v>
      </c>
      <c r="L271" s="106">
        <f t="shared" si="513"/>
        <v>6900</v>
      </c>
      <c r="M271" s="106">
        <f t="shared" si="514"/>
        <v>8352.81</v>
      </c>
      <c r="N271" s="106">
        <f t="shared" si="515"/>
        <v>16705.62</v>
      </c>
      <c r="O271" s="106">
        <v>16705.62</v>
      </c>
      <c r="P271" s="106">
        <f t="shared" si="516"/>
        <v>2905.619999999999</v>
      </c>
      <c r="Q271" s="106"/>
      <c r="R271" s="106"/>
      <c r="S271" s="106">
        <f>14167.42+500</f>
        <v>14667.42</v>
      </c>
      <c r="T271" s="106">
        <f t="shared" si="480"/>
        <v>867.42000000000007</v>
      </c>
      <c r="U271" s="107">
        <f t="shared" si="481"/>
        <v>-2038.1999999999989</v>
      </c>
      <c r="V271" s="106">
        <f t="shared" si="482"/>
        <v>-2038.1999999999989</v>
      </c>
      <c r="W271" s="108" t="s">
        <v>711</v>
      </c>
      <c r="X271" s="109">
        <f>14167.42+500</f>
        <v>14667.42</v>
      </c>
      <c r="Y271" s="24">
        <f t="shared" si="483"/>
        <v>0</v>
      </c>
      <c r="Z271" s="85">
        <v>14667</v>
      </c>
      <c r="AA271" s="29">
        <f t="shared" si="517"/>
        <v>867</v>
      </c>
      <c r="AB271" s="29">
        <f t="shared" si="518"/>
        <v>-0.42000000000007276</v>
      </c>
      <c r="AC271" s="72"/>
      <c r="AD271" s="72"/>
      <c r="AE271" s="72"/>
      <c r="AF271" s="72"/>
      <c r="AG271" s="72"/>
      <c r="AH271" s="85">
        <f>14167.42+500</f>
        <v>14667.42</v>
      </c>
      <c r="AI271" s="85">
        <v>13900</v>
      </c>
      <c r="AJ271" s="85">
        <f t="shared" si="519"/>
        <v>0.42000000000007276</v>
      </c>
      <c r="AK271" s="86">
        <v>13900</v>
      </c>
      <c r="AL271" s="123">
        <v>14043</v>
      </c>
      <c r="AM271" s="27">
        <f t="shared" si="504"/>
        <v>143</v>
      </c>
      <c r="AN271" s="61">
        <f t="shared" si="505"/>
        <v>-624</v>
      </c>
      <c r="AO271" s="62">
        <f t="shared" si="506"/>
        <v>-767</v>
      </c>
      <c r="AQ271" s="85"/>
      <c r="AR271" s="85"/>
      <c r="AS271" s="85"/>
      <c r="AT271" s="86">
        <f>14700+1000</f>
        <v>15700</v>
      </c>
      <c r="AU271" s="71">
        <v>14043.7</v>
      </c>
      <c r="AV271" s="71">
        <f t="shared" si="520"/>
        <v>15700</v>
      </c>
      <c r="AW271" s="71">
        <f t="shared" si="521"/>
        <v>1033</v>
      </c>
      <c r="AX271" s="76">
        <f t="shared" si="522"/>
        <v>1033</v>
      </c>
      <c r="AY271" s="76">
        <f t="shared" si="523"/>
        <v>1657</v>
      </c>
      <c r="AZ271" s="145" t="s">
        <v>712</v>
      </c>
      <c r="BE271" s="71">
        <v>15700</v>
      </c>
      <c r="BF271" s="71">
        <v>17400</v>
      </c>
      <c r="BG271" s="78">
        <f t="shared" si="524"/>
        <v>0</v>
      </c>
      <c r="BH271" s="71">
        <v>17500</v>
      </c>
      <c r="BI271" s="78">
        <f t="shared" si="526"/>
        <v>1700</v>
      </c>
      <c r="BJ271" s="78">
        <f t="shared" si="527"/>
        <v>3356.2999999999993</v>
      </c>
      <c r="BK271" s="71">
        <v>17423.04</v>
      </c>
      <c r="BL271" s="79">
        <f t="shared" si="528"/>
        <v>-76.959999999999127</v>
      </c>
      <c r="BM271" s="79">
        <f t="shared" si="529"/>
        <v>1723.0400000000009</v>
      </c>
      <c r="BN271" s="151" t="s">
        <v>713</v>
      </c>
      <c r="BO271" s="151" t="s">
        <v>713</v>
      </c>
      <c r="BP271" s="71">
        <v>17448.97</v>
      </c>
      <c r="BQ271" s="32">
        <f t="shared" si="507"/>
        <v>25.930000000000291</v>
      </c>
      <c r="BR271" s="32">
        <f t="shared" si="508"/>
        <v>1748.9700000000012</v>
      </c>
      <c r="BS271" s="87" t="s">
        <v>713</v>
      </c>
      <c r="BT271" s="87" t="s">
        <v>713</v>
      </c>
      <c r="BU271" s="33"/>
      <c r="BV271" s="34">
        <f t="shared" si="509"/>
        <v>1800</v>
      </c>
      <c r="BY271" s="82"/>
      <c r="BZ271" s="82"/>
      <c r="CC271" s="37"/>
      <c r="CD271" s="71">
        <v>14043.7</v>
      </c>
    </row>
    <row r="272" spans="1:82" s="77" customFormat="1" ht="18" hidden="1" customHeight="1" x14ac:dyDescent="0.25">
      <c r="A272" s="99" t="s">
        <v>58</v>
      </c>
      <c r="B272" s="100"/>
      <c r="C272" s="101"/>
      <c r="D272" s="93"/>
      <c r="E272" s="98"/>
      <c r="F272" s="121" t="s">
        <v>714</v>
      </c>
      <c r="G272" s="106">
        <v>0</v>
      </c>
      <c r="H272" s="106"/>
      <c r="I272" s="106">
        <v>0</v>
      </c>
      <c r="J272" s="65"/>
      <c r="K272" s="106"/>
      <c r="L272" s="106">
        <f t="shared" si="513"/>
        <v>0</v>
      </c>
      <c r="M272" s="106">
        <f t="shared" si="514"/>
        <v>0</v>
      </c>
      <c r="N272" s="106">
        <f t="shared" si="515"/>
        <v>0</v>
      </c>
      <c r="O272" s="106">
        <f>I272</f>
        <v>0</v>
      </c>
      <c r="P272" s="106">
        <f t="shared" si="516"/>
        <v>0</v>
      </c>
      <c r="Q272" s="106"/>
      <c r="R272" s="106"/>
      <c r="S272" s="106"/>
      <c r="T272" s="106">
        <f t="shared" si="480"/>
        <v>0</v>
      </c>
      <c r="U272" s="107">
        <f t="shared" si="481"/>
        <v>0</v>
      </c>
      <c r="V272" s="106">
        <f t="shared" si="482"/>
        <v>0</v>
      </c>
      <c r="W272" s="108"/>
      <c r="X272" s="109"/>
      <c r="Y272" s="24">
        <f t="shared" si="483"/>
        <v>0</v>
      </c>
      <c r="Z272" s="85"/>
      <c r="AA272" s="29">
        <f t="shared" si="517"/>
        <v>0</v>
      </c>
      <c r="AB272" s="29">
        <f t="shared" si="518"/>
        <v>0</v>
      </c>
      <c r="AC272" s="72"/>
      <c r="AD272" s="72"/>
      <c r="AE272" s="72"/>
      <c r="AF272" s="72"/>
      <c r="AG272" s="72"/>
      <c r="AH272" s="85"/>
      <c r="AI272" s="85"/>
      <c r="AJ272" s="85">
        <f t="shared" si="519"/>
        <v>0</v>
      </c>
      <c r="AK272" s="86"/>
      <c r="AL272" s="133"/>
      <c r="AM272" s="27">
        <f t="shared" si="504"/>
        <v>0</v>
      </c>
      <c r="AN272" s="61">
        <f t="shared" si="505"/>
        <v>0</v>
      </c>
      <c r="AO272" s="62">
        <f t="shared" si="506"/>
        <v>0</v>
      </c>
      <c r="AQ272" s="85"/>
      <c r="AR272" s="85"/>
      <c r="AS272" s="85"/>
      <c r="AT272" s="86">
        <f>AL272</f>
        <v>0</v>
      </c>
      <c r="AU272" s="71">
        <f>CEILING(BD272,100)</f>
        <v>0</v>
      </c>
      <c r="AV272" s="71">
        <f t="shared" si="520"/>
        <v>0</v>
      </c>
      <c r="AW272" s="71">
        <f t="shared" si="521"/>
        <v>0</v>
      </c>
      <c r="AX272" s="76">
        <f t="shared" si="522"/>
        <v>0</v>
      </c>
      <c r="AY272" s="76">
        <f t="shared" si="523"/>
        <v>0</v>
      </c>
      <c r="BE272" s="71">
        <v>0</v>
      </c>
      <c r="BF272" s="71"/>
      <c r="BG272" s="78">
        <f t="shared" si="524"/>
        <v>0</v>
      </c>
      <c r="BH272" s="196">
        <f>BF272</f>
        <v>0</v>
      </c>
      <c r="BI272" s="78">
        <f t="shared" si="526"/>
        <v>0</v>
      </c>
      <c r="BJ272" s="78">
        <f t="shared" si="527"/>
        <v>0</v>
      </c>
      <c r="BK272" s="71"/>
      <c r="BL272" s="79">
        <f t="shared" si="528"/>
        <v>0</v>
      </c>
      <c r="BM272" s="79">
        <f t="shared" si="529"/>
        <v>0</v>
      </c>
      <c r="BN272" s="32"/>
      <c r="BO272" s="87"/>
      <c r="BP272" s="71"/>
      <c r="BQ272" s="32">
        <f t="shared" si="507"/>
        <v>0</v>
      </c>
      <c r="BR272" s="32">
        <f t="shared" si="508"/>
        <v>0</v>
      </c>
      <c r="BS272" s="87"/>
      <c r="BT272" s="32"/>
      <c r="BU272" s="33"/>
      <c r="BV272" s="34">
        <f t="shared" si="509"/>
        <v>0</v>
      </c>
      <c r="BY272" s="82"/>
      <c r="BZ272" s="82"/>
      <c r="CC272" s="37"/>
      <c r="CD272" s="71"/>
    </row>
    <row r="273" spans="1:82" s="77" customFormat="1" ht="18" hidden="1" customHeight="1" x14ac:dyDescent="0.25">
      <c r="A273" s="99" t="s">
        <v>58</v>
      </c>
      <c r="B273" s="100"/>
      <c r="C273" s="101"/>
      <c r="D273" s="93"/>
      <c r="E273" s="98"/>
      <c r="F273" s="121" t="s">
        <v>715</v>
      </c>
      <c r="G273" s="106">
        <v>0</v>
      </c>
      <c r="H273" s="106">
        <v>0</v>
      </c>
      <c r="I273" s="106">
        <v>0</v>
      </c>
      <c r="J273" s="65"/>
      <c r="K273" s="106"/>
      <c r="L273" s="106">
        <f t="shared" si="513"/>
        <v>0</v>
      </c>
      <c r="M273" s="106">
        <f t="shared" si="514"/>
        <v>0</v>
      </c>
      <c r="N273" s="106">
        <f t="shared" si="515"/>
        <v>0</v>
      </c>
      <c r="O273" s="106">
        <f>I273</f>
        <v>0</v>
      </c>
      <c r="P273" s="106">
        <f t="shared" si="516"/>
        <v>0</v>
      </c>
      <c r="Q273" s="106"/>
      <c r="R273" s="106"/>
      <c r="S273" s="106"/>
      <c r="T273" s="106">
        <f t="shared" si="480"/>
        <v>0</v>
      </c>
      <c r="U273" s="107">
        <f t="shared" si="481"/>
        <v>0</v>
      </c>
      <c r="V273" s="106">
        <f t="shared" si="482"/>
        <v>0</v>
      </c>
      <c r="W273" s="108"/>
      <c r="X273" s="109"/>
      <c r="Y273" s="24">
        <f t="shared" si="483"/>
        <v>0</v>
      </c>
      <c r="Z273" s="85"/>
      <c r="AA273" s="29">
        <f t="shared" si="517"/>
        <v>0</v>
      </c>
      <c r="AB273" s="29">
        <f t="shared" si="518"/>
        <v>0</v>
      </c>
      <c r="AC273" s="72"/>
      <c r="AD273" s="72"/>
      <c r="AE273" s="72"/>
      <c r="AF273" s="72"/>
      <c r="AG273" s="72"/>
      <c r="AH273" s="85"/>
      <c r="AI273" s="85"/>
      <c r="AJ273" s="85">
        <f t="shared" si="519"/>
        <v>0</v>
      </c>
      <c r="AK273" s="86"/>
      <c r="AL273" s="133"/>
      <c r="AM273" s="27">
        <f t="shared" si="504"/>
        <v>0</v>
      </c>
      <c r="AN273" s="61">
        <f t="shared" si="505"/>
        <v>0</v>
      </c>
      <c r="AO273" s="62">
        <f t="shared" si="506"/>
        <v>0</v>
      </c>
      <c r="AQ273" s="85"/>
      <c r="AR273" s="85"/>
      <c r="AS273" s="85"/>
      <c r="AT273" s="86">
        <f>AL273</f>
        <v>0</v>
      </c>
      <c r="AU273" s="71">
        <f>CEILING(BD273,100)</f>
        <v>0</v>
      </c>
      <c r="AV273" s="71">
        <f t="shared" si="520"/>
        <v>0</v>
      </c>
      <c r="AW273" s="71">
        <f t="shared" si="521"/>
        <v>0</v>
      </c>
      <c r="AX273" s="76">
        <f t="shared" si="522"/>
        <v>0</v>
      </c>
      <c r="AY273" s="76">
        <f t="shared" si="523"/>
        <v>0</v>
      </c>
      <c r="BE273" s="71">
        <v>0</v>
      </c>
      <c r="BF273" s="71"/>
      <c r="BG273" s="78">
        <f t="shared" si="524"/>
        <v>0</v>
      </c>
      <c r="BH273" s="196">
        <f>BF273</f>
        <v>0</v>
      </c>
      <c r="BI273" s="78">
        <f t="shared" si="526"/>
        <v>0</v>
      </c>
      <c r="BJ273" s="78">
        <f t="shared" si="527"/>
        <v>0</v>
      </c>
      <c r="BK273" s="71"/>
      <c r="BL273" s="79">
        <f t="shared" si="528"/>
        <v>0</v>
      </c>
      <c r="BM273" s="79">
        <f t="shared" si="529"/>
        <v>0</v>
      </c>
      <c r="BN273" s="32"/>
      <c r="BO273" s="87"/>
      <c r="BP273" s="71"/>
      <c r="BQ273" s="32">
        <f t="shared" si="507"/>
        <v>0</v>
      </c>
      <c r="BR273" s="32">
        <f t="shared" si="508"/>
        <v>0</v>
      </c>
      <c r="BS273" s="87"/>
      <c r="BT273" s="32"/>
      <c r="BU273" s="33"/>
      <c r="BV273" s="34">
        <f t="shared" si="509"/>
        <v>0</v>
      </c>
      <c r="BY273" s="82"/>
      <c r="BZ273" s="82"/>
      <c r="CC273" s="37"/>
      <c r="CD273" s="71"/>
    </row>
    <row r="274" spans="1:82" s="77" customFormat="1" ht="18" customHeight="1" x14ac:dyDescent="0.25">
      <c r="A274" s="99" t="s">
        <v>58</v>
      </c>
      <c r="B274" s="100"/>
      <c r="C274" s="101"/>
      <c r="D274" s="93"/>
      <c r="E274" s="98"/>
      <c r="F274" s="121" t="s">
        <v>716</v>
      </c>
      <c r="G274" s="106">
        <v>100</v>
      </c>
      <c r="H274" s="106">
        <v>100</v>
      </c>
      <c r="I274" s="106">
        <v>100</v>
      </c>
      <c r="J274" s="65"/>
      <c r="K274" s="106">
        <v>52.29</v>
      </c>
      <c r="L274" s="106">
        <f t="shared" si="513"/>
        <v>50</v>
      </c>
      <c r="M274" s="106">
        <f t="shared" si="514"/>
        <v>26.145</v>
      </c>
      <c r="N274" s="106">
        <f t="shared" si="515"/>
        <v>52.29</v>
      </c>
      <c r="O274" s="106">
        <v>52.29</v>
      </c>
      <c r="P274" s="106">
        <f t="shared" si="516"/>
        <v>-47.71</v>
      </c>
      <c r="Q274" s="106"/>
      <c r="R274" s="106"/>
      <c r="S274" s="106">
        <v>52.29</v>
      </c>
      <c r="T274" s="106">
        <f t="shared" si="480"/>
        <v>-47.71</v>
      </c>
      <c r="U274" s="107">
        <f t="shared" si="481"/>
        <v>0</v>
      </c>
      <c r="V274" s="106">
        <f t="shared" si="482"/>
        <v>0</v>
      </c>
      <c r="W274" s="108"/>
      <c r="X274" s="109">
        <v>52.29</v>
      </c>
      <c r="Y274" s="24">
        <f t="shared" si="483"/>
        <v>0</v>
      </c>
      <c r="Z274" s="85">
        <v>52</v>
      </c>
      <c r="AA274" s="29">
        <f t="shared" si="517"/>
        <v>-48</v>
      </c>
      <c r="AB274" s="29">
        <f t="shared" si="518"/>
        <v>-0.28999999999999915</v>
      </c>
      <c r="AC274" s="72"/>
      <c r="AD274" s="72"/>
      <c r="AE274" s="72"/>
      <c r="AF274" s="72"/>
      <c r="AG274" s="72"/>
      <c r="AH274" s="85">
        <v>52.29</v>
      </c>
      <c r="AI274" s="85">
        <v>60</v>
      </c>
      <c r="AJ274" s="85">
        <f t="shared" si="519"/>
        <v>0.28999999999999915</v>
      </c>
      <c r="AK274" s="86">
        <v>60</v>
      </c>
      <c r="AL274" s="123">
        <v>53</v>
      </c>
      <c r="AM274" s="27">
        <f t="shared" si="504"/>
        <v>-7</v>
      </c>
      <c r="AN274" s="61">
        <f t="shared" si="505"/>
        <v>1</v>
      </c>
      <c r="AO274" s="62">
        <f t="shared" si="506"/>
        <v>8</v>
      </c>
      <c r="AQ274" s="85"/>
      <c r="AR274" s="85"/>
      <c r="AS274" s="85"/>
      <c r="AT274" s="86">
        <v>60</v>
      </c>
      <c r="AU274" s="71">
        <v>52.29</v>
      </c>
      <c r="AV274" s="71">
        <f t="shared" si="520"/>
        <v>100</v>
      </c>
      <c r="AW274" s="71">
        <f t="shared" si="521"/>
        <v>48</v>
      </c>
      <c r="AX274" s="76">
        <f t="shared" si="522"/>
        <v>8</v>
      </c>
      <c r="AY274" s="76">
        <f t="shared" si="523"/>
        <v>7</v>
      </c>
      <c r="BE274" s="71">
        <v>100</v>
      </c>
      <c r="BF274" s="71">
        <v>100</v>
      </c>
      <c r="BG274" s="78">
        <f t="shared" si="524"/>
        <v>0</v>
      </c>
      <c r="BH274" s="71">
        <f>BF274</f>
        <v>100</v>
      </c>
      <c r="BI274" s="78">
        <f t="shared" si="526"/>
        <v>0</v>
      </c>
      <c r="BJ274" s="78">
        <f t="shared" si="527"/>
        <v>47.71</v>
      </c>
      <c r="BK274" s="71">
        <v>52.29</v>
      </c>
      <c r="BL274" s="79">
        <f t="shared" si="528"/>
        <v>-47.71</v>
      </c>
      <c r="BM274" s="79">
        <f t="shared" si="529"/>
        <v>-47.71</v>
      </c>
      <c r="BN274" s="32"/>
      <c r="BO274" s="87"/>
      <c r="BP274" s="71">
        <v>52.29</v>
      </c>
      <c r="BQ274" s="32">
        <f t="shared" si="507"/>
        <v>0</v>
      </c>
      <c r="BR274" s="32">
        <f t="shared" si="508"/>
        <v>-47.71</v>
      </c>
      <c r="BS274" s="87"/>
      <c r="BT274" s="32"/>
      <c r="BU274" s="33"/>
      <c r="BV274" s="34">
        <f t="shared" si="509"/>
        <v>0</v>
      </c>
      <c r="BY274" s="82"/>
      <c r="BZ274" s="82"/>
      <c r="CC274" s="37"/>
      <c r="CD274" s="71">
        <v>52.29</v>
      </c>
    </row>
    <row r="275" spans="1:82" s="77" customFormat="1" ht="18" customHeight="1" x14ac:dyDescent="0.25">
      <c r="A275" s="99" t="s">
        <v>58</v>
      </c>
      <c r="B275" s="100"/>
      <c r="C275" s="101"/>
      <c r="D275" s="93"/>
      <c r="E275" s="98"/>
      <c r="F275" s="121" t="s">
        <v>717</v>
      </c>
      <c r="G275" s="106">
        <v>16800</v>
      </c>
      <c r="H275" s="106">
        <v>16800</v>
      </c>
      <c r="I275" s="106">
        <v>14200</v>
      </c>
      <c r="J275" s="65"/>
      <c r="K275" s="106">
        <v>15167.87</v>
      </c>
      <c r="L275" s="106">
        <f t="shared" si="513"/>
        <v>7100</v>
      </c>
      <c r="M275" s="106">
        <f t="shared" si="514"/>
        <v>7583.9350000000004</v>
      </c>
      <c r="N275" s="106">
        <f t="shared" si="515"/>
        <v>15167.87</v>
      </c>
      <c r="O275" s="106">
        <v>15167.87</v>
      </c>
      <c r="P275" s="106">
        <f t="shared" si="516"/>
        <v>967.8700000000008</v>
      </c>
      <c r="Q275" s="106"/>
      <c r="R275" s="106"/>
      <c r="S275" s="106">
        <v>16819.52</v>
      </c>
      <c r="T275" s="106">
        <f t="shared" si="480"/>
        <v>2619.5200000000004</v>
      </c>
      <c r="U275" s="107">
        <f t="shared" si="481"/>
        <v>1651.6499999999996</v>
      </c>
      <c r="V275" s="106">
        <f t="shared" si="482"/>
        <v>1651.6499999999996</v>
      </c>
      <c r="W275" s="108"/>
      <c r="X275" s="109">
        <v>16819.52</v>
      </c>
      <c r="Y275" s="24">
        <f t="shared" si="483"/>
        <v>0</v>
      </c>
      <c r="Z275" s="85">
        <v>16820</v>
      </c>
      <c r="AA275" s="29">
        <f t="shared" si="517"/>
        <v>2620</v>
      </c>
      <c r="AB275" s="29">
        <f t="shared" si="518"/>
        <v>0.47999999999956344</v>
      </c>
      <c r="AC275" s="72"/>
      <c r="AD275" s="72"/>
      <c r="AE275" s="72"/>
      <c r="AF275" s="72"/>
      <c r="AG275" s="72"/>
      <c r="AH275" s="85">
        <v>16819.52</v>
      </c>
      <c r="AI275" s="85">
        <v>17900</v>
      </c>
      <c r="AJ275" s="85">
        <f t="shared" si="519"/>
        <v>-0.47999999999956344</v>
      </c>
      <c r="AK275" s="86">
        <v>17900</v>
      </c>
      <c r="AL275" s="123">
        <v>17956</v>
      </c>
      <c r="AM275" s="27">
        <f t="shared" si="504"/>
        <v>56</v>
      </c>
      <c r="AN275" s="61">
        <f t="shared" si="505"/>
        <v>1136</v>
      </c>
      <c r="AO275" s="62">
        <f t="shared" si="506"/>
        <v>1080</v>
      </c>
      <c r="AQ275" s="85"/>
      <c r="AR275" s="85"/>
      <c r="AS275" s="85"/>
      <c r="AT275" s="86">
        <f>17800+900</f>
        <v>18700</v>
      </c>
      <c r="AU275" s="71">
        <v>17956.34</v>
      </c>
      <c r="AV275" s="71">
        <f t="shared" si="520"/>
        <v>18700</v>
      </c>
      <c r="AW275" s="71">
        <f t="shared" si="521"/>
        <v>1880</v>
      </c>
      <c r="AX275" s="76">
        <f t="shared" si="522"/>
        <v>1880</v>
      </c>
      <c r="AY275" s="76">
        <f t="shared" si="523"/>
        <v>744</v>
      </c>
      <c r="AZ275" s="145" t="s">
        <v>718</v>
      </c>
      <c r="BE275" s="71">
        <v>18700</v>
      </c>
      <c r="BF275" s="71">
        <v>18000</v>
      </c>
      <c r="BG275" s="78">
        <f t="shared" si="524"/>
        <v>0</v>
      </c>
      <c r="BH275" s="71">
        <v>19700</v>
      </c>
      <c r="BI275" s="78">
        <f t="shared" si="526"/>
        <v>-700</v>
      </c>
      <c r="BJ275" s="78">
        <f t="shared" si="527"/>
        <v>43.659999999999854</v>
      </c>
      <c r="BK275" s="71">
        <v>19696.599999999999</v>
      </c>
      <c r="BL275" s="79">
        <f t="shared" si="528"/>
        <v>-3.4000000000014552</v>
      </c>
      <c r="BM275" s="79">
        <f t="shared" si="529"/>
        <v>996.59999999999854</v>
      </c>
      <c r="BN275" s="32"/>
      <c r="BO275" s="32"/>
      <c r="BP275" s="71">
        <v>19696.599999999999</v>
      </c>
      <c r="BQ275" s="32">
        <f t="shared" si="507"/>
        <v>0</v>
      </c>
      <c r="BR275" s="32">
        <f t="shared" si="508"/>
        <v>996.59999999999854</v>
      </c>
      <c r="BS275" s="32"/>
      <c r="BT275" s="32"/>
      <c r="BU275" s="33"/>
      <c r="BV275" s="34">
        <f t="shared" si="509"/>
        <v>1000</v>
      </c>
      <c r="BY275" s="82"/>
      <c r="BZ275" s="82"/>
      <c r="CC275" s="37"/>
      <c r="CD275" s="71">
        <v>17956.34</v>
      </c>
    </row>
    <row r="276" spans="1:82" s="77" customFormat="1" ht="18" customHeight="1" x14ac:dyDescent="0.25">
      <c r="A276" s="99" t="s">
        <v>58</v>
      </c>
      <c r="B276" s="100"/>
      <c r="C276" s="101"/>
      <c r="D276" s="93"/>
      <c r="E276" s="98"/>
      <c r="F276" s="121" t="s">
        <v>719</v>
      </c>
      <c r="G276" s="106">
        <v>15700</v>
      </c>
      <c r="H276" s="106">
        <v>15700</v>
      </c>
      <c r="I276" s="106">
        <v>12000</v>
      </c>
      <c r="J276" s="65"/>
      <c r="K276" s="106">
        <v>15641.07</v>
      </c>
      <c r="L276" s="106">
        <f t="shared" si="513"/>
        <v>6000</v>
      </c>
      <c r="M276" s="106">
        <f t="shared" si="514"/>
        <v>7820.5349999999999</v>
      </c>
      <c r="N276" s="106">
        <f t="shared" si="515"/>
        <v>15641.07</v>
      </c>
      <c r="O276" s="106">
        <v>15641.07</v>
      </c>
      <c r="P276" s="106">
        <f t="shared" si="516"/>
        <v>3641.0699999999997</v>
      </c>
      <c r="Q276" s="106"/>
      <c r="R276" s="106"/>
      <c r="S276" s="106">
        <v>11931.74</v>
      </c>
      <c r="T276" s="106">
        <f t="shared" si="480"/>
        <v>-68.260000000000218</v>
      </c>
      <c r="U276" s="107">
        <f t="shared" si="481"/>
        <v>-3709.33</v>
      </c>
      <c r="V276" s="106">
        <f t="shared" si="482"/>
        <v>-3709.33</v>
      </c>
      <c r="W276" s="108"/>
      <c r="X276" s="109">
        <v>11931.74</v>
      </c>
      <c r="Y276" s="24">
        <f t="shared" si="483"/>
        <v>0</v>
      </c>
      <c r="Z276" s="85">
        <v>11932</v>
      </c>
      <c r="AA276" s="29">
        <f t="shared" si="517"/>
        <v>-68</v>
      </c>
      <c r="AB276" s="29">
        <f t="shared" si="518"/>
        <v>0.26000000000021828</v>
      </c>
      <c r="AC276" s="72"/>
      <c r="AD276" s="72"/>
      <c r="AE276" s="72"/>
      <c r="AF276" s="72"/>
      <c r="AG276" s="72"/>
      <c r="AH276" s="85">
        <v>11931.74</v>
      </c>
      <c r="AI276" s="85">
        <v>6100</v>
      </c>
      <c r="AJ276" s="85">
        <f t="shared" si="519"/>
        <v>-0.26000000000021828</v>
      </c>
      <c r="AK276" s="86">
        <v>6100</v>
      </c>
      <c r="AL276" s="123">
        <v>6971</v>
      </c>
      <c r="AM276" s="27">
        <f t="shared" si="504"/>
        <v>871</v>
      </c>
      <c r="AN276" s="61">
        <f t="shared" si="505"/>
        <v>-4961</v>
      </c>
      <c r="AO276" s="62">
        <f t="shared" si="506"/>
        <v>-5832</v>
      </c>
      <c r="AQ276" s="85"/>
      <c r="AR276" s="85"/>
      <c r="AS276" s="85"/>
      <c r="AT276" s="86">
        <v>8100</v>
      </c>
      <c r="AU276" s="71">
        <v>6970.18</v>
      </c>
      <c r="AV276" s="71">
        <f t="shared" si="520"/>
        <v>8100</v>
      </c>
      <c r="AW276" s="71">
        <f t="shared" si="521"/>
        <v>-3832</v>
      </c>
      <c r="AX276" s="76">
        <f t="shared" si="522"/>
        <v>-3832</v>
      </c>
      <c r="AY276" s="76">
        <f t="shared" si="523"/>
        <v>1129</v>
      </c>
      <c r="BE276" s="71">
        <v>8100</v>
      </c>
      <c r="BF276" s="71">
        <v>8100</v>
      </c>
      <c r="BG276" s="78">
        <f t="shared" si="524"/>
        <v>0</v>
      </c>
      <c r="BH276" s="71">
        <f>BF276</f>
        <v>8100</v>
      </c>
      <c r="BI276" s="78">
        <f t="shared" si="526"/>
        <v>0</v>
      </c>
      <c r="BJ276" s="78">
        <f t="shared" si="527"/>
        <v>1129.8199999999997</v>
      </c>
      <c r="BK276" s="71">
        <v>8073.3</v>
      </c>
      <c r="BL276" s="79">
        <f t="shared" si="528"/>
        <v>-26.699999999999818</v>
      </c>
      <c r="BM276" s="79">
        <f t="shared" si="529"/>
        <v>-26.699999999999818</v>
      </c>
      <c r="BN276" s="32"/>
      <c r="BO276" s="32"/>
      <c r="BP276" s="71">
        <v>8073.3</v>
      </c>
      <c r="BQ276" s="32">
        <f t="shared" si="507"/>
        <v>0</v>
      </c>
      <c r="BR276" s="32">
        <f t="shared" si="508"/>
        <v>-26.699999999999818</v>
      </c>
      <c r="BS276" s="32"/>
      <c r="BT276" s="32"/>
      <c r="BU276" s="33"/>
      <c r="BV276" s="34">
        <f t="shared" si="509"/>
        <v>0</v>
      </c>
      <c r="BY276" s="82"/>
      <c r="BZ276" s="82"/>
      <c r="CC276" s="37"/>
      <c r="CD276" s="71">
        <v>6970.18</v>
      </c>
    </row>
    <row r="277" spans="1:82" s="77" customFormat="1" ht="18" hidden="1" customHeight="1" x14ac:dyDescent="0.25">
      <c r="A277" s="99" t="s">
        <v>58</v>
      </c>
      <c r="B277" s="100"/>
      <c r="C277" s="101"/>
      <c r="D277" s="93"/>
      <c r="E277" s="98"/>
      <c r="F277" s="121" t="s">
        <v>720</v>
      </c>
      <c r="G277" s="106">
        <v>0</v>
      </c>
      <c r="H277" s="106"/>
      <c r="I277" s="106">
        <v>0</v>
      </c>
      <c r="J277" s="65"/>
      <c r="K277" s="106">
        <v>0</v>
      </c>
      <c r="L277" s="106">
        <f t="shared" si="513"/>
        <v>0</v>
      </c>
      <c r="M277" s="106">
        <f t="shared" si="514"/>
        <v>0</v>
      </c>
      <c r="N277" s="106">
        <f t="shared" si="515"/>
        <v>0</v>
      </c>
      <c r="O277" s="106">
        <f>I277</f>
        <v>0</v>
      </c>
      <c r="P277" s="106">
        <f t="shared" si="516"/>
        <v>0</v>
      </c>
      <c r="Q277" s="106"/>
      <c r="R277" s="106"/>
      <c r="S277" s="106"/>
      <c r="T277" s="106">
        <f t="shared" si="480"/>
        <v>0</v>
      </c>
      <c r="U277" s="107">
        <f t="shared" si="481"/>
        <v>0</v>
      </c>
      <c r="V277" s="106">
        <f t="shared" si="482"/>
        <v>0</v>
      </c>
      <c r="W277" s="108"/>
      <c r="X277" s="109"/>
      <c r="Y277" s="24">
        <f t="shared" si="483"/>
        <v>0</v>
      </c>
      <c r="Z277" s="85"/>
      <c r="AA277" s="29">
        <f t="shared" si="517"/>
        <v>0</v>
      </c>
      <c r="AB277" s="29">
        <f t="shared" si="518"/>
        <v>0</v>
      </c>
      <c r="AC277" s="72"/>
      <c r="AD277" s="72"/>
      <c r="AE277" s="72"/>
      <c r="AF277" s="72"/>
      <c r="AG277" s="72"/>
      <c r="AH277" s="85"/>
      <c r="AI277" s="85"/>
      <c r="AJ277" s="85">
        <f t="shared" si="519"/>
        <v>0</v>
      </c>
      <c r="AK277" s="86"/>
      <c r="AL277" s="133"/>
      <c r="AM277" s="27">
        <f t="shared" si="504"/>
        <v>0</v>
      </c>
      <c r="AN277" s="61">
        <f t="shared" si="505"/>
        <v>0</v>
      </c>
      <c r="AO277" s="62">
        <f t="shared" si="506"/>
        <v>0</v>
      </c>
      <c r="AQ277" s="85"/>
      <c r="AR277" s="85"/>
      <c r="AS277" s="85"/>
      <c r="AT277" s="86">
        <f>AL277</f>
        <v>0</v>
      </c>
      <c r="AU277" s="71">
        <f>CEILING(BD277,100)</f>
        <v>0</v>
      </c>
      <c r="AV277" s="71">
        <f t="shared" si="520"/>
        <v>0</v>
      </c>
      <c r="AW277" s="71">
        <f t="shared" si="521"/>
        <v>0</v>
      </c>
      <c r="AX277" s="76">
        <f t="shared" si="522"/>
        <v>0</v>
      </c>
      <c r="AY277" s="76">
        <f t="shared" si="523"/>
        <v>0</v>
      </c>
      <c r="BE277" s="71">
        <v>0</v>
      </c>
      <c r="BF277" s="71"/>
      <c r="BG277" s="78">
        <f t="shared" si="524"/>
        <v>0</v>
      </c>
      <c r="BH277" s="196">
        <f>BF277</f>
        <v>0</v>
      </c>
      <c r="BI277" s="78">
        <f t="shared" si="526"/>
        <v>0</v>
      </c>
      <c r="BJ277" s="78">
        <f t="shared" si="527"/>
        <v>0</v>
      </c>
      <c r="BK277" s="71"/>
      <c r="BL277" s="79">
        <f t="shared" si="528"/>
        <v>0</v>
      </c>
      <c r="BM277" s="79">
        <f t="shared" si="529"/>
        <v>0</v>
      </c>
      <c r="BN277" s="32"/>
      <c r="BO277" s="32"/>
      <c r="BP277" s="71"/>
      <c r="BQ277" s="32">
        <f t="shared" si="507"/>
        <v>0</v>
      </c>
      <c r="BR277" s="32">
        <f t="shared" si="508"/>
        <v>0</v>
      </c>
      <c r="BS277" s="32"/>
      <c r="BT277" s="32"/>
      <c r="BU277" s="33"/>
      <c r="BV277" s="34">
        <f t="shared" si="509"/>
        <v>0</v>
      </c>
      <c r="BY277" s="82"/>
      <c r="BZ277" s="82"/>
      <c r="CC277" s="37"/>
      <c r="CD277" s="71"/>
    </row>
    <row r="278" spans="1:82" s="77" customFormat="1" ht="18" customHeight="1" x14ac:dyDescent="0.25">
      <c r="A278" s="99" t="s">
        <v>58</v>
      </c>
      <c r="B278" s="100"/>
      <c r="C278" s="101"/>
      <c r="D278" s="93"/>
      <c r="E278" s="98"/>
      <c r="F278" s="121" t="s">
        <v>721</v>
      </c>
      <c r="G278" s="106">
        <v>0</v>
      </c>
      <c r="H278" s="106">
        <v>0</v>
      </c>
      <c r="I278" s="106">
        <v>100</v>
      </c>
      <c r="J278" s="65"/>
      <c r="K278" s="106">
        <v>38.28</v>
      </c>
      <c r="L278" s="106">
        <f t="shared" si="513"/>
        <v>50</v>
      </c>
      <c r="M278" s="106">
        <f t="shared" si="514"/>
        <v>19.14</v>
      </c>
      <c r="N278" s="106">
        <f t="shared" si="515"/>
        <v>38.28</v>
      </c>
      <c r="O278" s="106">
        <v>38.28</v>
      </c>
      <c r="P278" s="106">
        <f t="shared" si="516"/>
        <v>-61.72</v>
      </c>
      <c r="Q278" s="106"/>
      <c r="R278" s="106"/>
      <c r="S278" s="106">
        <v>57.5</v>
      </c>
      <c r="T278" s="106">
        <f t="shared" si="480"/>
        <v>-42.5</v>
      </c>
      <c r="U278" s="107">
        <f t="shared" si="481"/>
        <v>19.22</v>
      </c>
      <c r="V278" s="106">
        <f t="shared" si="482"/>
        <v>19.22</v>
      </c>
      <c r="W278" s="108"/>
      <c r="X278" s="109">
        <v>57.5</v>
      </c>
      <c r="Y278" s="24">
        <f t="shared" si="483"/>
        <v>0</v>
      </c>
      <c r="Z278" s="85">
        <v>58</v>
      </c>
      <c r="AA278" s="29">
        <f t="shared" si="517"/>
        <v>-42</v>
      </c>
      <c r="AB278" s="29">
        <f t="shared" si="518"/>
        <v>0.5</v>
      </c>
      <c r="AC278" s="72"/>
      <c r="AD278" s="72"/>
      <c r="AE278" s="72"/>
      <c r="AF278" s="72"/>
      <c r="AG278" s="72"/>
      <c r="AH278" s="85">
        <v>57.5</v>
      </c>
      <c r="AI278" s="85">
        <v>60</v>
      </c>
      <c r="AJ278" s="85">
        <f t="shared" si="519"/>
        <v>-0.5</v>
      </c>
      <c r="AK278" s="86">
        <v>60</v>
      </c>
      <c r="AL278" s="123">
        <v>58</v>
      </c>
      <c r="AM278" s="27">
        <f t="shared" si="504"/>
        <v>-2</v>
      </c>
      <c r="AN278" s="61">
        <f t="shared" si="505"/>
        <v>0</v>
      </c>
      <c r="AO278" s="62">
        <f t="shared" si="506"/>
        <v>2</v>
      </c>
      <c r="AQ278" s="85"/>
      <c r="AR278" s="85"/>
      <c r="AS278" s="85"/>
      <c r="AT278" s="86">
        <v>60</v>
      </c>
      <c r="AU278" s="71">
        <v>57.5</v>
      </c>
      <c r="AV278" s="71">
        <f t="shared" si="520"/>
        <v>100</v>
      </c>
      <c r="AW278" s="71">
        <f t="shared" si="521"/>
        <v>42</v>
      </c>
      <c r="AX278" s="76">
        <f t="shared" si="522"/>
        <v>2</v>
      </c>
      <c r="AY278" s="76">
        <f t="shared" si="523"/>
        <v>2</v>
      </c>
      <c r="BE278" s="71">
        <v>100</v>
      </c>
      <c r="BF278" s="71">
        <v>100</v>
      </c>
      <c r="BG278" s="78">
        <f t="shared" si="524"/>
        <v>0</v>
      </c>
      <c r="BH278" s="71">
        <f>BF278</f>
        <v>100</v>
      </c>
      <c r="BI278" s="78">
        <f t="shared" si="526"/>
        <v>0</v>
      </c>
      <c r="BJ278" s="78">
        <f t="shared" si="527"/>
        <v>42.5</v>
      </c>
      <c r="BK278" s="71">
        <v>78.040000000000006</v>
      </c>
      <c r="BL278" s="79">
        <f t="shared" si="528"/>
        <v>-21.959999999999994</v>
      </c>
      <c r="BM278" s="79">
        <f t="shared" si="529"/>
        <v>-21.959999999999994</v>
      </c>
      <c r="BN278" s="32"/>
      <c r="BO278" s="32"/>
      <c r="BP278" s="71">
        <v>78.040000000000006</v>
      </c>
      <c r="BQ278" s="32">
        <f t="shared" si="507"/>
        <v>0</v>
      </c>
      <c r="BR278" s="32">
        <f t="shared" si="508"/>
        <v>-21.959999999999994</v>
      </c>
      <c r="BS278" s="32"/>
      <c r="BT278" s="32"/>
      <c r="BU278" s="33"/>
      <c r="BV278" s="34">
        <f t="shared" si="509"/>
        <v>0</v>
      </c>
      <c r="BY278" s="82"/>
      <c r="BZ278" s="82"/>
      <c r="CC278" s="37"/>
      <c r="CD278" s="71">
        <v>57.5</v>
      </c>
    </row>
    <row r="279" spans="1:82" s="77" customFormat="1" ht="18" customHeight="1" x14ac:dyDescent="0.25">
      <c r="A279" s="99" t="s">
        <v>58</v>
      </c>
      <c r="B279" s="100"/>
      <c r="C279" s="101"/>
      <c r="D279" s="93"/>
      <c r="E279" s="98"/>
      <c r="F279" s="121" t="s">
        <v>722</v>
      </c>
      <c r="G279" s="106">
        <v>200</v>
      </c>
      <c r="H279" s="106">
        <v>200</v>
      </c>
      <c r="I279" s="106">
        <v>100</v>
      </c>
      <c r="J279" s="65"/>
      <c r="K279" s="106">
        <v>135.09</v>
      </c>
      <c r="L279" s="106">
        <f t="shared" si="513"/>
        <v>50</v>
      </c>
      <c r="M279" s="106">
        <f t="shared" si="514"/>
        <v>67.545000000000002</v>
      </c>
      <c r="N279" s="106">
        <f t="shared" si="515"/>
        <v>135.09</v>
      </c>
      <c r="O279" s="106">
        <v>135.09</v>
      </c>
      <c r="P279" s="106">
        <f t="shared" si="516"/>
        <v>35.090000000000003</v>
      </c>
      <c r="Q279" s="106"/>
      <c r="R279" s="106"/>
      <c r="S279" s="106">
        <v>83.88</v>
      </c>
      <c r="T279" s="106">
        <f t="shared" si="480"/>
        <v>-16.120000000000005</v>
      </c>
      <c r="U279" s="107">
        <f t="shared" si="481"/>
        <v>-51.210000000000008</v>
      </c>
      <c r="V279" s="106">
        <f t="shared" si="482"/>
        <v>-51.210000000000008</v>
      </c>
      <c r="W279" s="108"/>
      <c r="X279" s="109">
        <v>83.88</v>
      </c>
      <c r="Y279" s="24">
        <f t="shared" si="483"/>
        <v>0</v>
      </c>
      <c r="Z279" s="85">
        <v>84</v>
      </c>
      <c r="AA279" s="29">
        <f t="shared" si="517"/>
        <v>-16</v>
      </c>
      <c r="AB279" s="29">
        <f t="shared" si="518"/>
        <v>0.12000000000000455</v>
      </c>
      <c r="AC279" s="72"/>
      <c r="AD279" s="72"/>
      <c r="AE279" s="72"/>
      <c r="AF279" s="72"/>
      <c r="AG279" s="72"/>
      <c r="AH279" s="85">
        <v>83.88</v>
      </c>
      <c r="AI279" s="85">
        <v>90</v>
      </c>
      <c r="AJ279" s="85">
        <f t="shared" si="519"/>
        <v>-0.12000000000000455</v>
      </c>
      <c r="AK279" s="86">
        <v>90</v>
      </c>
      <c r="AL279" s="123">
        <v>84</v>
      </c>
      <c r="AM279" s="27">
        <f t="shared" si="504"/>
        <v>-6</v>
      </c>
      <c r="AN279" s="61">
        <f t="shared" si="505"/>
        <v>0</v>
      </c>
      <c r="AO279" s="62">
        <f t="shared" si="506"/>
        <v>6</v>
      </c>
      <c r="AQ279" s="85"/>
      <c r="AR279" s="85"/>
      <c r="AS279" s="85"/>
      <c r="AT279" s="86">
        <v>90</v>
      </c>
      <c r="AU279" s="71">
        <v>83.88</v>
      </c>
      <c r="AV279" s="71">
        <f t="shared" si="520"/>
        <v>100</v>
      </c>
      <c r="AW279" s="71">
        <f t="shared" si="521"/>
        <v>16</v>
      </c>
      <c r="AX279" s="76">
        <f t="shared" si="522"/>
        <v>6</v>
      </c>
      <c r="AY279" s="76">
        <f t="shared" si="523"/>
        <v>6</v>
      </c>
      <c r="BE279" s="71">
        <v>100</v>
      </c>
      <c r="BF279" s="71">
        <v>100</v>
      </c>
      <c r="BG279" s="78">
        <f t="shared" si="524"/>
        <v>0</v>
      </c>
      <c r="BH279" s="71">
        <f>BF279</f>
        <v>100</v>
      </c>
      <c r="BI279" s="78">
        <f t="shared" si="526"/>
        <v>0</v>
      </c>
      <c r="BJ279" s="78">
        <f t="shared" si="527"/>
        <v>16.120000000000005</v>
      </c>
      <c r="BK279" s="71">
        <v>83.88</v>
      </c>
      <c r="BL279" s="79">
        <f t="shared" si="528"/>
        <v>-16.120000000000005</v>
      </c>
      <c r="BM279" s="79">
        <f t="shared" si="529"/>
        <v>-16.120000000000005</v>
      </c>
      <c r="BN279" s="32"/>
      <c r="BO279" s="32"/>
      <c r="BP279" s="71">
        <v>83.88</v>
      </c>
      <c r="BQ279" s="32">
        <f t="shared" si="507"/>
        <v>0</v>
      </c>
      <c r="BR279" s="32">
        <f t="shared" si="508"/>
        <v>-16.120000000000005</v>
      </c>
      <c r="BS279" s="32"/>
      <c r="BT279" s="32"/>
      <c r="BU279" s="33"/>
      <c r="BV279" s="34">
        <f t="shared" si="509"/>
        <v>0</v>
      </c>
      <c r="BY279" s="82"/>
      <c r="BZ279" s="82"/>
      <c r="CC279" s="37"/>
      <c r="CD279" s="71">
        <v>83.88</v>
      </c>
    </row>
    <row r="280" spans="1:82" s="35" customFormat="1" ht="18" customHeight="1" x14ac:dyDescent="0.25">
      <c r="A280" s="38" t="s">
        <v>58</v>
      </c>
      <c r="B280" s="39"/>
      <c r="C280" s="119" t="s">
        <v>723</v>
      </c>
      <c r="D280" s="119"/>
      <c r="E280" s="122"/>
      <c r="F280" s="40"/>
      <c r="G280" s="20">
        <v>292000</v>
      </c>
      <c r="H280" s="20">
        <v>229000</v>
      </c>
      <c r="I280" s="20">
        <f t="shared" ref="I280:Q280" si="530">I281+I284+I290+I296</f>
        <v>222700</v>
      </c>
      <c r="J280" s="20" t="e">
        <f t="shared" si="530"/>
        <v>#VALUE!</v>
      </c>
      <c r="K280" s="20">
        <f t="shared" si="530"/>
        <v>240764.91</v>
      </c>
      <c r="L280" s="20">
        <f t="shared" si="530"/>
        <v>0</v>
      </c>
      <c r="M280" s="20">
        <f t="shared" si="530"/>
        <v>111350</v>
      </c>
      <c r="N280" s="20">
        <f t="shared" si="530"/>
        <v>222700</v>
      </c>
      <c r="O280" s="20">
        <f t="shared" si="530"/>
        <v>222700</v>
      </c>
      <c r="P280" s="20">
        <f t="shared" si="530"/>
        <v>0</v>
      </c>
      <c r="Q280" s="20">
        <f t="shared" si="530"/>
        <v>0</v>
      </c>
      <c r="R280" s="20"/>
      <c r="S280" s="20">
        <f>S281+S284+S290+S296</f>
        <v>222700</v>
      </c>
      <c r="T280" s="20">
        <f t="shared" si="480"/>
        <v>0</v>
      </c>
      <c r="U280" s="21">
        <f t="shared" si="481"/>
        <v>-18064.910000000003</v>
      </c>
      <c r="V280" s="20">
        <f t="shared" si="482"/>
        <v>0</v>
      </c>
      <c r="W280" s="22"/>
      <c r="X280" s="23">
        <f>X281+X284+X290+X296</f>
        <v>222700</v>
      </c>
      <c r="Y280" s="24">
        <f t="shared" si="483"/>
        <v>0</v>
      </c>
      <c r="Z280" s="25">
        <f t="shared" ref="Z280:AL280" si="531">Z290</f>
        <v>215459</v>
      </c>
      <c r="AA280" s="25">
        <f t="shared" si="531"/>
        <v>-7241</v>
      </c>
      <c r="AB280" s="25">
        <f t="shared" si="531"/>
        <v>-7241</v>
      </c>
      <c r="AC280" s="25">
        <f t="shared" si="531"/>
        <v>0</v>
      </c>
      <c r="AD280" s="25">
        <f t="shared" si="531"/>
        <v>0</v>
      </c>
      <c r="AE280" s="25">
        <f t="shared" si="531"/>
        <v>0</v>
      </c>
      <c r="AF280" s="25">
        <f t="shared" si="531"/>
        <v>0</v>
      </c>
      <c r="AG280" s="25">
        <f t="shared" si="531"/>
        <v>0</v>
      </c>
      <c r="AH280" s="25">
        <f t="shared" si="531"/>
        <v>215459.04</v>
      </c>
      <c r="AI280" s="25">
        <f t="shared" si="531"/>
        <v>215459</v>
      </c>
      <c r="AJ280" s="25">
        <f t="shared" si="531"/>
        <v>4.0000000008149073E-2</v>
      </c>
      <c r="AK280" s="26">
        <f t="shared" si="531"/>
        <v>215459</v>
      </c>
      <c r="AL280" s="25">
        <f t="shared" si="531"/>
        <v>215459</v>
      </c>
      <c r="AM280" s="27">
        <f t="shared" si="504"/>
        <v>0</v>
      </c>
      <c r="AN280" s="28">
        <f t="shared" si="505"/>
        <v>0</v>
      </c>
      <c r="AO280" s="50">
        <f t="shared" si="506"/>
        <v>0</v>
      </c>
      <c r="AQ280" s="25"/>
      <c r="AR280" s="25"/>
      <c r="AS280" s="25"/>
      <c r="AT280" s="26">
        <f>AT290</f>
        <v>213241.08</v>
      </c>
      <c r="AU280" s="25">
        <f>AU281+AU290</f>
        <v>275710.29000000004</v>
      </c>
      <c r="AV280" s="25">
        <f t="shared" ref="AV280:BP280" si="532">AV281+AV284+AV290</f>
        <v>213300</v>
      </c>
      <c r="AW280" s="25">
        <f t="shared" si="532"/>
        <v>-2159</v>
      </c>
      <c r="AX280" s="25">
        <f t="shared" si="532"/>
        <v>-2217.9200000000128</v>
      </c>
      <c r="AY280" s="25">
        <f t="shared" si="532"/>
        <v>-2217.9200000000128</v>
      </c>
      <c r="AZ280" s="25">
        <f t="shared" si="532"/>
        <v>0</v>
      </c>
      <c r="BA280" s="25">
        <f t="shared" si="532"/>
        <v>0</v>
      </c>
      <c r="BB280" s="25">
        <f t="shared" si="532"/>
        <v>0</v>
      </c>
      <c r="BC280" s="25">
        <f t="shared" si="532"/>
        <v>0</v>
      </c>
      <c r="BD280" s="25">
        <f t="shared" si="532"/>
        <v>0</v>
      </c>
      <c r="BE280" s="25">
        <f t="shared" si="532"/>
        <v>213300</v>
      </c>
      <c r="BF280" s="25">
        <f t="shared" si="532"/>
        <v>254057.53</v>
      </c>
      <c r="BG280" s="25">
        <f t="shared" si="532"/>
        <v>0</v>
      </c>
      <c r="BH280" s="25">
        <f t="shared" si="532"/>
        <v>254057.53</v>
      </c>
      <c r="BI280" s="25">
        <f t="shared" si="532"/>
        <v>40757.53</v>
      </c>
      <c r="BJ280" s="25">
        <f t="shared" si="532"/>
        <v>-21652.760000000009</v>
      </c>
      <c r="BK280" s="25">
        <f t="shared" si="532"/>
        <v>794761.01</v>
      </c>
      <c r="BL280" s="25">
        <f t="shared" si="532"/>
        <v>540704.48</v>
      </c>
      <c r="BM280" s="25">
        <f t="shared" si="532"/>
        <v>581463.01</v>
      </c>
      <c r="BN280" s="25">
        <f t="shared" si="532"/>
        <v>3</v>
      </c>
      <c r="BO280" s="25">
        <f t="shared" si="532"/>
        <v>4</v>
      </c>
      <c r="BP280" s="25">
        <f t="shared" si="532"/>
        <v>1159321.8999999999</v>
      </c>
      <c r="BQ280" s="31">
        <f t="shared" si="507"/>
        <v>364560.8899999999</v>
      </c>
      <c r="BR280" s="31">
        <f t="shared" si="508"/>
        <v>946021.89999999991</v>
      </c>
      <c r="BS280" s="32"/>
      <c r="BT280" s="32"/>
      <c r="BU280" s="33"/>
      <c r="BV280" s="34">
        <f t="shared" si="509"/>
        <v>40757.53</v>
      </c>
      <c r="BY280" s="36"/>
      <c r="BZ280" s="36"/>
      <c r="CC280" s="37"/>
      <c r="CD280" s="25">
        <f>CD281+CD284+CD290</f>
        <v>275710.29000000004</v>
      </c>
    </row>
    <row r="281" spans="1:82" s="35" customFormat="1" ht="18" customHeight="1" x14ac:dyDescent="0.25">
      <c r="A281" s="38" t="s">
        <v>58</v>
      </c>
      <c r="B281" s="39"/>
      <c r="C281" s="93"/>
      <c r="D281" s="93" t="s">
        <v>724</v>
      </c>
      <c r="E281" s="103"/>
      <c r="F281" s="104"/>
      <c r="G281" s="46">
        <v>0</v>
      </c>
      <c r="H281" s="46">
        <v>0</v>
      </c>
      <c r="I281" s="46">
        <f>I282</f>
        <v>0</v>
      </c>
      <c r="J281" s="41"/>
      <c r="K281" s="46">
        <f>K282</f>
        <v>0</v>
      </c>
      <c r="L281" s="46"/>
      <c r="M281" s="46"/>
      <c r="N281" s="46"/>
      <c r="O281" s="46"/>
      <c r="P281" s="46">
        <f t="shared" ref="P281:P290" si="533">N281-I281</f>
        <v>0</v>
      </c>
      <c r="Q281" s="46">
        <f>Q282</f>
        <v>0</v>
      </c>
      <c r="R281" s="46"/>
      <c r="S281" s="46">
        <f>S282</f>
        <v>0</v>
      </c>
      <c r="T281" s="46">
        <f t="shared" si="480"/>
        <v>0</v>
      </c>
      <c r="U281" s="21">
        <f t="shared" si="481"/>
        <v>0</v>
      </c>
      <c r="V281" s="46">
        <f t="shared" si="482"/>
        <v>0</v>
      </c>
      <c r="W281" s="47"/>
      <c r="X281" s="23">
        <f>X282</f>
        <v>0</v>
      </c>
      <c r="Y281" s="24">
        <f t="shared" si="483"/>
        <v>0</v>
      </c>
      <c r="Z281" s="48">
        <f t="shared" ref="Z281:AK289" si="534">S281</f>
        <v>0</v>
      </c>
      <c r="AA281" s="48">
        <f t="shared" si="534"/>
        <v>0</v>
      </c>
      <c r="AB281" s="48">
        <f t="shared" si="534"/>
        <v>0</v>
      </c>
      <c r="AC281" s="48">
        <f t="shared" si="534"/>
        <v>0</v>
      </c>
      <c r="AD281" s="48">
        <f t="shared" si="534"/>
        <v>0</v>
      </c>
      <c r="AE281" s="48">
        <f t="shared" si="534"/>
        <v>0</v>
      </c>
      <c r="AF281" s="48">
        <f t="shared" si="534"/>
        <v>0</v>
      </c>
      <c r="AG281" s="48">
        <f t="shared" si="534"/>
        <v>0</v>
      </c>
      <c r="AH281" s="48">
        <f t="shared" si="534"/>
        <v>0</v>
      </c>
      <c r="AI281" s="48">
        <f t="shared" si="534"/>
        <v>0</v>
      </c>
      <c r="AJ281" s="48">
        <f t="shared" si="534"/>
        <v>0</v>
      </c>
      <c r="AK281" s="49">
        <f t="shared" si="534"/>
        <v>0</v>
      </c>
      <c r="AL281" s="48">
        <f>AD281</f>
        <v>0</v>
      </c>
      <c r="AM281" s="27">
        <f t="shared" si="504"/>
        <v>0</v>
      </c>
      <c r="AN281" s="28">
        <f t="shared" si="505"/>
        <v>0</v>
      </c>
      <c r="AO281" s="50">
        <f t="shared" si="506"/>
        <v>0</v>
      </c>
      <c r="AQ281" s="48"/>
      <c r="AR281" s="48"/>
      <c r="AS281" s="48"/>
      <c r="AT281" s="49">
        <f>AM281</f>
        <v>0</v>
      </c>
      <c r="AU281" s="48">
        <f t="shared" ref="AU281:BJ282" si="535">AU282</f>
        <v>20317.25</v>
      </c>
      <c r="AV281" s="48">
        <f t="shared" si="535"/>
        <v>0</v>
      </c>
      <c r="AW281" s="48">
        <f t="shared" si="535"/>
        <v>0</v>
      </c>
      <c r="AX281" s="48">
        <f t="shared" si="535"/>
        <v>0</v>
      </c>
      <c r="AY281" s="48">
        <f t="shared" si="535"/>
        <v>0</v>
      </c>
      <c r="AZ281" s="48">
        <f t="shared" si="535"/>
        <v>0</v>
      </c>
      <c r="BA281" s="48">
        <f t="shared" si="535"/>
        <v>0</v>
      </c>
      <c r="BB281" s="48">
        <f t="shared" si="535"/>
        <v>0</v>
      </c>
      <c r="BC281" s="48">
        <f t="shared" si="535"/>
        <v>0</v>
      </c>
      <c r="BD281" s="48">
        <f t="shared" si="535"/>
        <v>0</v>
      </c>
      <c r="BE281" s="48">
        <f t="shared" si="535"/>
        <v>0</v>
      </c>
      <c r="BF281" s="48">
        <f t="shared" si="535"/>
        <v>0</v>
      </c>
      <c r="BG281" s="48">
        <f t="shared" si="535"/>
        <v>0</v>
      </c>
      <c r="BH281" s="48">
        <f t="shared" si="535"/>
        <v>0</v>
      </c>
      <c r="BI281" s="48">
        <f t="shared" si="535"/>
        <v>0</v>
      </c>
      <c r="BJ281" s="48">
        <f t="shared" si="535"/>
        <v>-20317.25</v>
      </c>
      <c r="BK281" s="48">
        <f t="shared" ref="BK281:BV282" si="536">BK282</f>
        <v>0</v>
      </c>
      <c r="BL281" s="48">
        <f t="shared" si="536"/>
        <v>1</v>
      </c>
      <c r="BM281" s="48">
        <f t="shared" si="536"/>
        <v>2</v>
      </c>
      <c r="BN281" s="48">
        <f t="shared" si="536"/>
        <v>3</v>
      </c>
      <c r="BO281" s="48">
        <f t="shared" si="536"/>
        <v>4</v>
      </c>
      <c r="BP281" s="48">
        <f t="shared" si="536"/>
        <v>11692.17</v>
      </c>
      <c r="BQ281" s="31">
        <f t="shared" si="507"/>
        <v>11692.17</v>
      </c>
      <c r="BR281" s="31">
        <f t="shared" si="508"/>
        <v>11692.17</v>
      </c>
      <c r="BS281" s="32"/>
      <c r="BT281" s="32"/>
      <c r="BU281" s="33"/>
      <c r="BV281" s="34">
        <f t="shared" si="509"/>
        <v>0</v>
      </c>
      <c r="BY281" s="36"/>
      <c r="BZ281" s="36"/>
      <c r="CC281" s="37"/>
      <c r="CD281" s="48">
        <f>CD282</f>
        <v>20317.25</v>
      </c>
    </row>
    <row r="282" spans="1:82" s="35" customFormat="1" ht="18" customHeight="1" x14ac:dyDescent="0.25">
      <c r="A282" s="38" t="s">
        <v>58</v>
      </c>
      <c r="B282" s="39"/>
      <c r="C282" s="93"/>
      <c r="D282" s="93"/>
      <c r="E282" s="98" t="s">
        <v>724</v>
      </c>
      <c r="F282" s="197"/>
      <c r="G282" s="198">
        <v>0</v>
      </c>
      <c r="H282" s="198">
        <v>0</v>
      </c>
      <c r="I282" s="198">
        <v>0</v>
      </c>
      <c r="J282" s="41"/>
      <c r="K282" s="198">
        <v>0</v>
      </c>
      <c r="L282" s="198"/>
      <c r="M282" s="198"/>
      <c r="N282" s="198"/>
      <c r="O282" s="198"/>
      <c r="P282" s="198">
        <f t="shared" si="533"/>
        <v>0</v>
      </c>
      <c r="Q282" s="198"/>
      <c r="R282" s="198"/>
      <c r="S282" s="198"/>
      <c r="T282" s="198">
        <f t="shared" si="480"/>
        <v>0</v>
      </c>
      <c r="U282" s="199">
        <f t="shared" si="481"/>
        <v>0</v>
      </c>
      <c r="V282" s="198">
        <f t="shared" si="482"/>
        <v>0</v>
      </c>
      <c r="W282" s="88"/>
      <c r="X282" s="200"/>
      <c r="Y282" s="24">
        <f t="shared" si="483"/>
        <v>0</v>
      </c>
      <c r="Z282" s="48">
        <f t="shared" si="534"/>
        <v>0</v>
      </c>
      <c r="AA282" s="48">
        <f t="shared" si="534"/>
        <v>0</v>
      </c>
      <c r="AB282" s="48">
        <f t="shared" si="534"/>
        <v>0</v>
      </c>
      <c r="AC282" s="48">
        <f t="shared" si="534"/>
        <v>0</v>
      </c>
      <c r="AD282" s="48">
        <f t="shared" si="534"/>
        <v>0</v>
      </c>
      <c r="AE282" s="48">
        <f t="shared" si="534"/>
        <v>0</v>
      </c>
      <c r="AF282" s="48">
        <f t="shared" si="534"/>
        <v>0</v>
      </c>
      <c r="AG282" s="48">
        <f t="shared" si="534"/>
        <v>0</v>
      </c>
      <c r="AH282" s="48">
        <f t="shared" si="534"/>
        <v>0</v>
      </c>
      <c r="AI282" s="48">
        <f t="shared" si="534"/>
        <v>0</v>
      </c>
      <c r="AJ282" s="48">
        <f t="shared" si="534"/>
        <v>0</v>
      </c>
      <c r="AK282" s="49">
        <f t="shared" si="534"/>
        <v>0</v>
      </c>
      <c r="AL282" s="48">
        <f>AD282</f>
        <v>0</v>
      </c>
      <c r="AM282" s="27">
        <f t="shared" si="504"/>
        <v>0</v>
      </c>
      <c r="AN282" s="28">
        <f t="shared" si="505"/>
        <v>0</v>
      </c>
      <c r="AO282" s="50">
        <f t="shared" si="506"/>
        <v>0</v>
      </c>
      <c r="AQ282" s="48"/>
      <c r="AR282" s="48"/>
      <c r="AS282" s="48"/>
      <c r="AT282" s="49">
        <f>AM282</f>
        <v>0</v>
      </c>
      <c r="AU282" s="33">
        <f t="shared" si="535"/>
        <v>20317.25</v>
      </c>
      <c r="AV282" s="33">
        <f t="shared" si="535"/>
        <v>0</v>
      </c>
      <c r="AW282" s="33">
        <f t="shared" si="535"/>
        <v>0</v>
      </c>
      <c r="AX282" s="33">
        <f t="shared" si="535"/>
        <v>0</v>
      </c>
      <c r="AY282" s="33">
        <f t="shared" si="535"/>
        <v>0</v>
      </c>
      <c r="AZ282" s="33">
        <f t="shared" si="535"/>
        <v>0</v>
      </c>
      <c r="BA282" s="33">
        <f t="shared" si="535"/>
        <v>0</v>
      </c>
      <c r="BB282" s="33">
        <f t="shared" si="535"/>
        <v>0</v>
      </c>
      <c r="BC282" s="33">
        <f t="shared" si="535"/>
        <v>0</v>
      </c>
      <c r="BD282" s="33">
        <f t="shared" si="535"/>
        <v>0</v>
      </c>
      <c r="BE282" s="33">
        <f t="shared" si="535"/>
        <v>0</v>
      </c>
      <c r="BF282" s="33">
        <f t="shared" si="535"/>
        <v>0</v>
      </c>
      <c r="BG282" s="33">
        <f t="shared" si="535"/>
        <v>0</v>
      </c>
      <c r="BH282" s="33">
        <f t="shared" si="535"/>
        <v>0</v>
      </c>
      <c r="BI282" s="33">
        <f t="shared" si="535"/>
        <v>0</v>
      </c>
      <c r="BJ282" s="33">
        <f t="shared" si="535"/>
        <v>-20317.25</v>
      </c>
      <c r="BK282" s="33">
        <f t="shared" si="536"/>
        <v>0</v>
      </c>
      <c r="BL282" s="33">
        <f t="shared" si="536"/>
        <v>1</v>
      </c>
      <c r="BM282" s="33">
        <f t="shared" si="536"/>
        <v>2</v>
      </c>
      <c r="BN282" s="33">
        <f t="shared" si="536"/>
        <v>3</v>
      </c>
      <c r="BO282" s="33">
        <f t="shared" si="536"/>
        <v>4</v>
      </c>
      <c r="BP282" s="33">
        <f t="shared" si="536"/>
        <v>11692.17</v>
      </c>
      <c r="BQ282" s="31">
        <f t="shared" si="507"/>
        <v>11692.17</v>
      </c>
      <c r="BR282" s="31">
        <f t="shared" si="508"/>
        <v>11692.17</v>
      </c>
      <c r="BS282" s="32"/>
      <c r="BT282" s="32"/>
      <c r="BU282" s="33"/>
      <c r="BV282" s="34">
        <f t="shared" si="509"/>
        <v>0</v>
      </c>
      <c r="BY282" s="36"/>
      <c r="BZ282" s="36"/>
      <c r="CC282" s="37"/>
      <c r="CD282" s="33">
        <f>CD283</f>
        <v>20317.25</v>
      </c>
    </row>
    <row r="283" spans="1:82" s="35" customFormat="1" ht="18" customHeight="1" x14ac:dyDescent="0.25">
      <c r="A283" s="38" t="s">
        <v>58</v>
      </c>
      <c r="B283" s="39"/>
      <c r="C283" s="93"/>
      <c r="D283" s="93"/>
      <c r="E283" s="103"/>
      <c r="F283" s="121" t="s">
        <v>724</v>
      </c>
      <c r="G283" s="201">
        <v>0</v>
      </c>
      <c r="H283" s="201">
        <v>0</v>
      </c>
      <c r="I283" s="201">
        <v>0</v>
      </c>
      <c r="J283" s="41"/>
      <c r="K283" s="201">
        <v>0</v>
      </c>
      <c r="L283" s="201"/>
      <c r="M283" s="201"/>
      <c r="N283" s="201"/>
      <c r="O283" s="201"/>
      <c r="P283" s="201">
        <f t="shared" si="533"/>
        <v>0</v>
      </c>
      <c r="Q283" s="201"/>
      <c r="R283" s="201"/>
      <c r="S283" s="201"/>
      <c r="T283" s="201">
        <f t="shared" si="480"/>
        <v>0</v>
      </c>
      <c r="U283" s="21">
        <f t="shared" si="481"/>
        <v>0</v>
      </c>
      <c r="V283" s="201">
        <f t="shared" si="482"/>
        <v>0</v>
      </c>
      <c r="W283" s="202"/>
      <c r="X283" s="23"/>
      <c r="Y283" s="24">
        <f t="shared" si="483"/>
        <v>0</v>
      </c>
      <c r="Z283" s="48">
        <f t="shared" si="534"/>
        <v>0</v>
      </c>
      <c r="AA283" s="48">
        <f t="shared" si="534"/>
        <v>0</v>
      </c>
      <c r="AB283" s="48">
        <f t="shared" si="534"/>
        <v>0</v>
      </c>
      <c r="AC283" s="48">
        <f t="shared" si="534"/>
        <v>0</v>
      </c>
      <c r="AD283" s="48">
        <f t="shared" si="534"/>
        <v>0</v>
      </c>
      <c r="AE283" s="48">
        <f t="shared" si="534"/>
        <v>0</v>
      </c>
      <c r="AF283" s="48">
        <f t="shared" si="534"/>
        <v>0</v>
      </c>
      <c r="AG283" s="48">
        <f t="shared" si="534"/>
        <v>0</v>
      </c>
      <c r="AH283" s="48">
        <f t="shared" si="534"/>
        <v>0</v>
      </c>
      <c r="AI283" s="48">
        <f t="shared" si="534"/>
        <v>0</v>
      </c>
      <c r="AJ283" s="48">
        <f t="shared" si="534"/>
        <v>0</v>
      </c>
      <c r="AK283" s="49">
        <f t="shared" si="534"/>
        <v>0</v>
      </c>
      <c r="AL283" s="48">
        <f>AD283</f>
        <v>0</v>
      </c>
      <c r="AM283" s="27">
        <f t="shared" si="504"/>
        <v>0</v>
      </c>
      <c r="AN283" s="28">
        <f t="shared" si="505"/>
        <v>0</v>
      </c>
      <c r="AO283" s="50">
        <f t="shared" si="506"/>
        <v>0</v>
      </c>
      <c r="AQ283" s="48"/>
      <c r="AR283" s="48"/>
      <c r="AS283" s="48"/>
      <c r="AT283" s="49">
        <f>AM283</f>
        <v>0</v>
      </c>
      <c r="AU283" s="71">
        <v>20317.25</v>
      </c>
      <c r="AV283" s="71">
        <f t="shared" ref="AV283:BB283" si="537">AN283</f>
        <v>0</v>
      </c>
      <c r="AW283" s="71">
        <f t="shared" si="537"/>
        <v>0</v>
      </c>
      <c r="AX283" s="76">
        <f t="shared" si="537"/>
        <v>0</v>
      </c>
      <c r="AY283" s="76">
        <f t="shared" si="537"/>
        <v>0</v>
      </c>
      <c r="AZ283" s="77">
        <f t="shared" si="537"/>
        <v>0</v>
      </c>
      <c r="BA283" s="77">
        <f t="shared" si="537"/>
        <v>0</v>
      </c>
      <c r="BB283" s="77">
        <f t="shared" si="537"/>
        <v>0</v>
      </c>
      <c r="BC283" s="77">
        <f>AV283</f>
        <v>0</v>
      </c>
      <c r="BD283" s="77">
        <f>AW283</f>
        <v>0</v>
      </c>
      <c r="BE283" s="71">
        <f>AX283</f>
        <v>0</v>
      </c>
      <c r="BF283" s="71">
        <v>0</v>
      </c>
      <c r="BG283" s="78">
        <f>BE283-AV283</f>
        <v>0</v>
      </c>
      <c r="BH283" s="71">
        <f>BF283</f>
        <v>0</v>
      </c>
      <c r="BI283" s="33">
        <f>BF283-AV283</f>
        <v>0</v>
      </c>
      <c r="BJ283" s="33">
        <f>BF283-AU283</f>
        <v>-20317.25</v>
      </c>
      <c r="BK283" s="71">
        <v>0</v>
      </c>
      <c r="BL283" s="71">
        <v>1</v>
      </c>
      <c r="BM283" s="71">
        <v>2</v>
      </c>
      <c r="BN283" s="71">
        <v>3</v>
      </c>
      <c r="BO283" s="71">
        <v>4</v>
      </c>
      <c r="BP283" s="71">
        <v>11692.17</v>
      </c>
      <c r="BQ283" s="32">
        <f t="shared" si="507"/>
        <v>11692.17</v>
      </c>
      <c r="BR283" s="32">
        <f t="shared" si="508"/>
        <v>11692.17</v>
      </c>
      <c r="BS283" s="87" t="s">
        <v>725</v>
      </c>
      <c r="BT283" s="32"/>
      <c r="BU283" s="33"/>
      <c r="BV283" s="34">
        <f t="shared" si="509"/>
        <v>0</v>
      </c>
      <c r="BY283" s="36"/>
      <c r="BZ283" s="36"/>
      <c r="CC283" s="37"/>
      <c r="CD283" s="71">
        <v>20317.25</v>
      </c>
    </row>
    <row r="284" spans="1:82" s="35" customFormat="1" ht="18" customHeight="1" x14ac:dyDescent="0.25">
      <c r="A284" s="38" t="s">
        <v>58</v>
      </c>
      <c r="B284" s="39"/>
      <c r="C284" s="93"/>
      <c r="D284" s="93" t="s">
        <v>726</v>
      </c>
      <c r="E284" s="103"/>
      <c r="F284" s="104"/>
      <c r="G284" s="46">
        <v>0</v>
      </c>
      <c r="H284" s="46">
        <v>0</v>
      </c>
      <c r="I284" s="46">
        <f>I285</f>
        <v>0</v>
      </c>
      <c r="J284" s="46"/>
      <c r="K284" s="46">
        <f>K285</f>
        <v>11862.41</v>
      </c>
      <c r="L284" s="46"/>
      <c r="M284" s="46"/>
      <c r="N284" s="46"/>
      <c r="O284" s="46"/>
      <c r="P284" s="46">
        <f t="shared" si="533"/>
        <v>0</v>
      </c>
      <c r="Q284" s="46">
        <f>Q285</f>
        <v>0</v>
      </c>
      <c r="R284" s="46"/>
      <c r="S284" s="46"/>
      <c r="T284" s="46">
        <f t="shared" si="480"/>
        <v>0</v>
      </c>
      <c r="U284" s="21">
        <f t="shared" si="481"/>
        <v>-11862.41</v>
      </c>
      <c r="V284" s="46">
        <f t="shared" si="482"/>
        <v>0</v>
      </c>
      <c r="W284" s="47"/>
      <c r="X284" s="23"/>
      <c r="Y284" s="24">
        <f t="shared" si="483"/>
        <v>0</v>
      </c>
      <c r="Z284" s="48">
        <f t="shared" si="534"/>
        <v>0</v>
      </c>
      <c r="AA284" s="48">
        <f t="shared" si="534"/>
        <v>0</v>
      </c>
      <c r="AB284" s="48">
        <f t="shared" si="534"/>
        <v>-11862.41</v>
      </c>
      <c r="AC284" s="48">
        <f t="shared" si="534"/>
        <v>0</v>
      </c>
      <c r="AD284" s="48">
        <f t="shared" si="534"/>
        <v>0</v>
      </c>
      <c r="AE284" s="48">
        <f t="shared" si="534"/>
        <v>0</v>
      </c>
      <c r="AF284" s="48">
        <f t="shared" si="534"/>
        <v>0</v>
      </c>
      <c r="AG284" s="48">
        <f t="shared" si="534"/>
        <v>0</v>
      </c>
      <c r="AH284" s="48">
        <f t="shared" si="534"/>
        <v>0</v>
      </c>
      <c r="AI284" s="48">
        <f t="shared" si="534"/>
        <v>-11862.41</v>
      </c>
      <c r="AJ284" s="48">
        <f t="shared" si="534"/>
        <v>0</v>
      </c>
      <c r="AK284" s="49">
        <f t="shared" si="534"/>
        <v>0</v>
      </c>
      <c r="AL284" s="48">
        <f>AL285</f>
        <v>0</v>
      </c>
      <c r="AM284" s="27">
        <f t="shared" si="504"/>
        <v>11862.41</v>
      </c>
      <c r="AN284" s="28">
        <f t="shared" si="505"/>
        <v>0</v>
      </c>
      <c r="AO284" s="50">
        <f t="shared" si="506"/>
        <v>-11862.41</v>
      </c>
      <c r="AQ284" s="48"/>
      <c r="AR284" s="48"/>
      <c r="AS284" s="48"/>
      <c r="AT284" s="49">
        <f t="shared" ref="AT284:BP284" si="538">AT285</f>
        <v>0</v>
      </c>
      <c r="AU284" s="48">
        <f t="shared" si="538"/>
        <v>0</v>
      </c>
      <c r="AV284" s="48">
        <f t="shared" si="538"/>
        <v>0</v>
      </c>
      <c r="AW284" s="48">
        <f t="shared" si="538"/>
        <v>0</v>
      </c>
      <c r="AX284" s="48">
        <f t="shared" si="538"/>
        <v>0</v>
      </c>
      <c r="AY284" s="48">
        <f t="shared" si="538"/>
        <v>0</v>
      </c>
      <c r="AZ284" s="48">
        <f t="shared" si="538"/>
        <v>0</v>
      </c>
      <c r="BA284" s="48">
        <f t="shared" si="538"/>
        <v>0</v>
      </c>
      <c r="BB284" s="48">
        <f t="shared" si="538"/>
        <v>0</v>
      </c>
      <c r="BC284" s="48">
        <f t="shared" si="538"/>
        <v>0</v>
      </c>
      <c r="BD284" s="48">
        <f t="shared" si="538"/>
        <v>0</v>
      </c>
      <c r="BE284" s="48">
        <f t="shared" si="538"/>
        <v>0</v>
      </c>
      <c r="BF284" s="48">
        <f t="shared" si="538"/>
        <v>0</v>
      </c>
      <c r="BG284" s="48">
        <f t="shared" si="538"/>
        <v>0</v>
      </c>
      <c r="BH284" s="48">
        <f t="shared" si="538"/>
        <v>0</v>
      </c>
      <c r="BI284" s="48">
        <f t="shared" si="538"/>
        <v>0</v>
      </c>
      <c r="BJ284" s="48">
        <f t="shared" si="538"/>
        <v>0</v>
      </c>
      <c r="BK284" s="48">
        <f t="shared" si="538"/>
        <v>0</v>
      </c>
      <c r="BL284" s="48">
        <f t="shared" si="538"/>
        <v>0</v>
      </c>
      <c r="BM284" s="48">
        <f t="shared" si="538"/>
        <v>0</v>
      </c>
      <c r="BN284" s="48">
        <f t="shared" si="538"/>
        <v>0</v>
      </c>
      <c r="BO284" s="48">
        <f t="shared" si="538"/>
        <v>0</v>
      </c>
      <c r="BP284" s="48">
        <f t="shared" si="538"/>
        <v>24551.32</v>
      </c>
      <c r="BQ284" s="32">
        <f t="shared" si="507"/>
        <v>24551.32</v>
      </c>
      <c r="BR284" s="32">
        <f t="shared" si="508"/>
        <v>24551.32</v>
      </c>
      <c r="BS284" s="32"/>
      <c r="BT284" s="32"/>
      <c r="BU284" s="33"/>
      <c r="BV284" s="34">
        <f t="shared" si="509"/>
        <v>0</v>
      </c>
      <c r="BY284" s="36"/>
      <c r="BZ284" s="36"/>
      <c r="CC284" s="37"/>
      <c r="CD284" s="48">
        <f>CD285</f>
        <v>0</v>
      </c>
    </row>
    <row r="285" spans="1:82" s="35" customFormat="1" ht="18" customHeight="1" x14ac:dyDescent="0.25">
      <c r="A285" s="38" t="s">
        <v>58</v>
      </c>
      <c r="B285" s="39"/>
      <c r="C285" s="93"/>
      <c r="D285" s="93"/>
      <c r="E285" s="98" t="s">
        <v>726</v>
      </c>
      <c r="F285" s="197"/>
      <c r="G285" s="198">
        <v>0</v>
      </c>
      <c r="H285" s="198">
        <v>0</v>
      </c>
      <c r="I285" s="198">
        <v>0</v>
      </c>
      <c r="J285" s="41"/>
      <c r="K285" s="198">
        <v>11862.41</v>
      </c>
      <c r="L285" s="198"/>
      <c r="M285" s="198"/>
      <c r="N285" s="198"/>
      <c r="O285" s="198"/>
      <c r="P285" s="198">
        <f t="shared" si="533"/>
        <v>0</v>
      </c>
      <c r="Q285" s="198"/>
      <c r="R285" s="198"/>
      <c r="S285" s="198"/>
      <c r="T285" s="198">
        <f t="shared" si="480"/>
        <v>0</v>
      </c>
      <c r="U285" s="199">
        <f t="shared" si="481"/>
        <v>-11862.41</v>
      </c>
      <c r="V285" s="198">
        <f t="shared" si="482"/>
        <v>0</v>
      </c>
      <c r="W285" s="88"/>
      <c r="X285" s="200"/>
      <c r="Y285" s="24">
        <f t="shared" si="483"/>
        <v>0</v>
      </c>
      <c r="Z285" s="48">
        <f t="shared" si="534"/>
        <v>0</v>
      </c>
      <c r="AA285" s="48">
        <f t="shared" si="534"/>
        <v>0</v>
      </c>
      <c r="AB285" s="48">
        <f t="shared" si="534"/>
        <v>-11862.41</v>
      </c>
      <c r="AC285" s="48">
        <f t="shared" si="534"/>
        <v>0</v>
      </c>
      <c r="AD285" s="48">
        <f t="shared" si="534"/>
        <v>0</v>
      </c>
      <c r="AE285" s="48">
        <f t="shared" si="534"/>
        <v>0</v>
      </c>
      <c r="AF285" s="48">
        <f t="shared" si="534"/>
        <v>0</v>
      </c>
      <c r="AG285" s="48">
        <f t="shared" si="534"/>
        <v>0</v>
      </c>
      <c r="AH285" s="48">
        <f t="shared" si="534"/>
        <v>0</v>
      </c>
      <c r="AI285" s="48">
        <f t="shared" si="534"/>
        <v>-11862.41</v>
      </c>
      <c r="AJ285" s="48">
        <f t="shared" si="534"/>
        <v>0</v>
      </c>
      <c r="AK285" s="49">
        <f t="shared" si="534"/>
        <v>0</v>
      </c>
      <c r="AL285" s="48">
        <f>SUM(AL286:AL289)</f>
        <v>0</v>
      </c>
      <c r="AM285" s="27">
        <f t="shared" si="504"/>
        <v>11862.41</v>
      </c>
      <c r="AN285" s="28">
        <f t="shared" si="505"/>
        <v>0</v>
      </c>
      <c r="AO285" s="50">
        <f t="shared" si="506"/>
        <v>-11862.41</v>
      </c>
      <c r="AQ285" s="48"/>
      <c r="AR285" s="48"/>
      <c r="AS285" s="48"/>
      <c r="AT285" s="49">
        <f t="shared" ref="AT285:BP285" si="539">SUM(AT286:AT289)</f>
        <v>0</v>
      </c>
      <c r="AU285" s="33">
        <f t="shared" si="539"/>
        <v>0</v>
      </c>
      <c r="AV285" s="33">
        <f t="shared" si="539"/>
        <v>0</v>
      </c>
      <c r="AW285" s="33">
        <f t="shared" si="539"/>
        <v>0</v>
      </c>
      <c r="AX285" s="33">
        <f t="shared" si="539"/>
        <v>0</v>
      </c>
      <c r="AY285" s="33">
        <f t="shared" si="539"/>
        <v>0</v>
      </c>
      <c r="AZ285" s="33">
        <f t="shared" si="539"/>
        <v>0</v>
      </c>
      <c r="BA285" s="33">
        <f t="shared" si="539"/>
        <v>0</v>
      </c>
      <c r="BB285" s="33">
        <f t="shared" si="539"/>
        <v>0</v>
      </c>
      <c r="BC285" s="33">
        <f t="shared" si="539"/>
        <v>0</v>
      </c>
      <c r="BD285" s="33">
        <f t="shared" si="539"/>
        <v>0</v>
      </c>
      <c r="BE285" s="33">
        <f t="shared" si="539"/>
        <v>0</v>
      </c>
      <c r="BF285" s="33">
        <f t="shared" si="539"/>
        <v>0</v>
      </c>
      <c r="BG285" s="33">
        <f t="shared" si="539"/>
        <v>0</v>
      </c>
      <c r="BH285" s="33">
        <f t="shared" si="539"/>
        <v>0</v>
      </c>
      <c r="BI285" s="33">
        <f t="shared" si="539"/>
        <v>0</v>
      </c>
      <c r="BJ285" s="33">
        <f t="shared" si="539"/>
        <v>0</v>
      </c>
      <c r="BK285" s="33">
        <f t="shared" si="539"/>
        <v>0</v>
      </c>
      <c r="BL285" s="33">
        <f t="shared" si="539"/>
        <v>0</v>
      </c>
      <c r="BM285" s="33">
        <f t="shared" si="539"/>
        <v>0</v>
      </c>
      <c r="BN285" s="33">
        <f t="shared" si="539"/>
        <v>0</v>
      </c>
      <c r="BO285" s="33">
        <f t="shared" si="539"/>
        <v>0</v>
      </c>
      <c r="BP285" s="33">
        <f t="shared" si="539"/>
        <v>24551.32</v>
      </c>
      <c r="BQ285" s="32">
        <f t="shared" si="507"/>
        <v>24551.32</v>
      </c>
      <c r="BR285" s="32">
        <f t="shared" si="508"/>
        <v>24551.32</v>
      </c>
      <c r="BS285" s="32"/>
      <c r="BT285" s="32"/>
      <c r="BU285" s="33"/>
      <c r="BV285" s="34">
        <f t="shared" si="509"/>
        <v>0</v>
      </c>
      <c r="BY285" s="36"/>
      <c r="BZ285" s="36"/>
      <c r="CC285" s="37"/>
      <c r="CD285" s="33">
        <f>SUM(CD286:CD289)</f>
        <v>0</v>
      </c>
    </row>
    <row r="286" spans="1:82" s="77" customFormat="1" ht="18" hidden="1" customHeight="1" x14ac:dyDescent="0.25">
      <c r="A286" s="99" t="s">
        <v>58</v>
      </c>
      <c r="B286" s="100"/>
      <c r="C286" s="101"/>
      <c r="D286" s="101"/>
      <c r="E286" s="101"/>
      <c r="F286" s="121" t="s">
        <v>727</v>
      </c>
      <c r="G286" s="115">
        <v>0</v>
      </c>
      <c r="H286" s="115">
        <v>0</v>
      </c>
      <c r="I286" s="115">
        <v>0</v>
      </c>
      <c r="J286" s="83"/>
      <c r="K286" s="115">
        <v>0</v>
      </c>
      <c r="L286" s="115"/>
      <c r="M286" s="115"/>
      <c r="N286" s="115"/>
      <c r="O286" s="115"/>
      <c r="P286" s="115">
        <f t="shared" si="533"/>
        <v>0</v>
      </c>
      <c r="Q286" s="115"/>
      <c r="R286" s="115"/>
      <c r="S286" s="115"/>
      <c r="T286" s="115">
        <f t="shared" si="480"/>
        <v>0</v>
      </c>
      <c r="U286" s="107">
        <f t="shared" si="481"/>
        <v>0</v>
      </c>
      <c r="V286" s="115">
        <f t="shared" si="482"/>
        <v>0</v>
      </c>
      <c r="W286" s="116"/>
      <c r="X286" s="109"/>
      <c r="Y286" s="203">
        <f t="shared" si="483"/>
        <v>0</v>
      </c>
      <c r="Z286" s="85">
        <f t="shared" si="534"/>
        <v>0</v>
      </c>
      <c r="AA286" s="85">
        <f t="shared" si="534"/>
        <v>0</v>
      </c>
      <c r="AB286" s="85">
        <f t="shared" si="534"/>
        <v>0</v>
      </c>
      <c r="AC286" s="85">
        <f t="shared" si="534"/>
        <v>0</v>
      </c>
      <c r="AD286" s="85">
        <f t="shared" si="534"/>
        <v>0</v>
      </c>
      <c r="AE286" s="85">
        <f t="shared" si="534"/>
        <v>0</v>
      </c>
      <c r="AF286" s="85">
        <f t="shared" si="534"/>
        <v>0</v>
      </c>
      <c r="AG286" s="85">
        <f t="shared" si="534"/>
        <v>0</v>
      </c>
      <c r="AH286" s="85">
        <f t="shared" si="534"/>
        <v>0</v>
      </c>
      <c r="AI286" s="85">
        <f t="shared" si="534"/>
        <v>0</v>
      </c>
      <c r="AJ286" s="85">
        <f t="shared" si="534"/>
        <v>0</v>
      </c>
      <c r="AK286" s="86">
        <f t="shared" si="534"/>
        <v>0</v>
      </c>
      <c r="AL286" s="85">
        <f>AD286</f>
        <v>0</v>
      </c>
      <c r="AM286" s="204">
        <f t="shared" si="504"/>
        <v>0</v>
      </c>
      <c r="AN286" s="205">
        <f t="shared" si="505"/>
        <v>0</v>
      </c>
      <c r="AO286" s="206">
        <f t="shared" si="506"/>
        <v>0</v>
      </c>
      <c r="AQ286" s="85"/>
      <c r="AR286" s="85"/>
      <c r="AS286" s="85"/>
      <c r="AT286" s="86">
        <f>AM286</f>
        <v>0</v>
      </c>
      <c r="AU286" s="85">
        <f>AX286</f>
        <v>0</v>
      </c>
      <c r="AV286" s="85">
        <f t="shared" ref="AV286:BB289" si="540">AN286</f>
        <v>0</v>
      </c>
      <c r="AW286" s="85">
        <f t="shared" si="540"/>
        <v>0</v>
      </c>
      <c r="AX286" s="85">
        <f t="shared" si="540"/>
        <v>0</v>
      </c>
      <c r="AY286" s="85">
        <f t="shared" si="540"/>
        <v>0</v>
      </c>
      <c r="AZ286" s="85">
        <f t="shared" si="540"/>
        <v>0</v>
      </c>
      <c r="BA286" s="85">
        <f t="shared" si="540"/>
        <v>0</v>
      </c>
      <c r="BB286" s="85">
        <f t="shared" si="540"/>
        <v>0</v>
      </c>
      <c r="BC286" s="85">
        <f t="shared" ref="BC286:BF289" si="541">AV286</f>
        <v>0</v>
      </c>
      <c r="BD286" s="85">
        <f t="shared" si="541"/>
        <v>0</v>
      </c>
      <c r="BE286" s="85">
        <f t="shared" si="541"/>
        <v>0</v>
      </c>
      <c r="BF286" s="85">
        <f t="shared" si="541"/>
        <v>0</v>
      </c>
      <c r="BG286" s="207">
        <f>BE286-AV286</f>
        <v>0</v>
      </c>
      <c r="BH286" s="85"/>
      <c r="BI286" s="85">
        <f>BF286-AV286</f>
        <v>0</v>
      </c>
      <c r="BJ286" s="85">
        <f>BF286-AU286</f>
        <v>0</v>
      </c>
      <c r="BK286" s="85"/>
      <c r="BL286" s="85"/>
      <c r="BM286" s="85"/>
      <c r="BN286" s="85"/>
      <c r="BO286" s="85"/>
      <c r="BP286" s="85"/>
      <c r="BQ286" s="87">
        <f t="shared" si="507"/>
        <v>0</v>
      </c>
      <c r="BR286" s="87">
        <f t="shared" si="508"/>
        <v>0</v>
      </c>
      <c r="BS286" s="87"/>
      <c r="BT286" s="87"/>
      <c r="BU286" s="85"/>
      <c r="BV286" s="76">
        <f t="shared" si="509"/>
        <v>0</v>
      </c>
      <c r="BY286" s="82"/>
      <c r="BZ286" s="82"/>
      <c r="CC286" s="72"/>
      <c r="CD286" s="85"/>
    </row>
    <row r="287" spans="1:82" s="77" customFormat="1" ht="18" customHeight="1" x14ac:dyDescent="0.25">
      <c r="A287" s="99" t="s">
        <v>58</v>
      </c>
      <c r="B287" s="100"/>
      <c r="C287" s="101"/>
      <c r="D287" s="101"/>
      <c r="E287" s="101"/>
      <c r="F287" s="121" t="s">
        <v>728</v>
      </c>
      <c r="G287" s="115">
        <v>0</v>
      </c>
      <c r="H287" s="115">
        <v>0</v>
      </c>
      <c r="I287" s="115">
        <v>0</v>
      </c>
      <c r="J287" s="83"/>
      <c r="K287" s="115">
        <v>0</v>
      </c>
      <c r="L287" s="115"/>
      <c r="M287" s="115"/>
      <c r="N287" s="115"/>
      <c r="O287" s="115"/>
      <c r="P287" s="115">
        <f t="shared" si="533"/>
        <v>0</v>
      </c>
      <c r="Q287" s="115"/>
      <c r="R287" s="115"/>
      <c r="S287" s="115"/>
      <c r="T287" s="115">
        <f t="shared" si="480"/>
        <v>0</v>
      </c>
      <c r="U287" s="107">
        <f t="shared" si="481"/>
        <v>0</v>
      </c>
      <c r="V287" s="115">
        <f t="shared" si="482"/>
        <v>0</v>
      </c>
      <c r="W287" s="116"/>
      <c r="X287" s="109"/>
      <c r="Y287" s="203">
        <f t="shared" si="483"/>
        <v>0</v>
      </c>
      <c r="Z287" s="85">
        <f t="shared" si="534"/>
        <v>0</v>
      </c>
      <c r="AA287" s="85">
        <f t="shared" si="534"/>
        <v>0</v>
      </c>
      <c r="AB287" s="85">
        <f t="shared" si="534"/>
        <v>0</v>
      </c>
      <c r="AC287" s="85">
        <f t="shared" si="534"/>
        <v>0</v>
      </c>
      <c r="AD287" s="85">
        <f t="shared" si="534"/>
        <v>0</v>
      </c>
      <c r="AE287" s="85">
        <f t="shared" si="534"/>
        <v>0</v>
      </c>
      <c r="AF287" s="85">
        <f t="shared" si="534"/>
        <v>0</v>
      </c>
      <c r="AG287" s="85">
        <f t="shared" si="534"/>
        <v>0</v>
      </c>
      <c r="AH287" s="85">
        <f t="shared" si="534"/>
        <v>0</v>
      </c>
      <c r="AI287" s="85">
        <f t="shared" si="534"/>
        <v>0</v>
      </c>
      <c r="AJ287" s="85">
        <f t="shared" si="534"/>
        <v>0</v>
      </c>
      <c r="AK287" s="86">
        <f t="shared" si="534"/>
        <v>0</v>
      </c>
      <c r="AL287" s="85">
        <f>AD287</f>
        <v>0</v>
      </c>
      <c r="AM287" s="204">
        <f t="shared" si="504"/>
        <v>0</v>
      </c>
      <c r="AN287" s="205">
        <f t="shared" si="505"/>
        <v>0</v>
      </c>
      <c r="AO287" s="206">
        <f t="shared" si="506"/>
        <v>0</v>
      </c>
      <c r="AQ287" s="85"/>
      <c r="AR287" s="85"/>
      <c r="AS287" s="85"/>
      <c r="AT287" s="86">
        <f>AM287</f>
        <v>0</v>
      </c>
      <c r="AU287" s="85">
        <f>AX287</f>
        <v>0</v>
      </c>
      <c r="AV287" s="85">
        <f t="shared" si="540"/>
        <v>0</v>
      </c>
      <c r="AW287" s="85">
        <f t="shared" si="540"/>
        <v>0</v>
      </c>
      <c r="AX287" s="85">
        <f t="shared" si="540"/>
        <v>0</v>
      </c>
      <c r="AY287" s="85">
        <f t="shared" si="540"/>
        <v>0</v>
      </c>
      <c r="AZ287" s="85">
        <f t="shared" si="540"/>
        <v>0</v>
      </c>
      <c r="BA287" s="85">
        <f t="shared" si="540"/>
        <v>0</v>
      </c>
      <c r="BB287" s="85">
        <f t="shared" si="540"/>
        <v>0</v>
      </c>
      <c r="BC287" s="85">
        <f t="shared" si="541"/>
        <v>0</v>
      </c>
      <c r="BD287" s="85">
        <f t="shared" si="541"/>
        <v>0</v>
      </c>
      <c r="BE287" s="85">
        <f t="shared" si="541"/>
        <v>0</v>
      </c>
      <c r="BF287" s="85">
        <f t="shared" si="541"/>
        <v>0</v>
      </c>
      <c r="BG287" s="207">
        <f>BE287-AV287</f>
        <v>0</v>
      </c>
      <c r="BH287" s="85"/>
      <c r="BI287" s="85">
        <f>BF287-AV287</f>
        <v>0</v>
      </c>
      <c r="BJ287" s="85">
        <f>BF287-AU287</f>
        <v>0</v>
      </c>
      <c r="BK287" s="85">
        <v>0</v>
      </c>
      <c r="BL287" s="85"/>
      <c r="BM287" s="85"/>
      <c r="BN287" s="85"/>
      <c r="BO287" s="85"/>
      <c r="BP287" s="71">
        <v>24551.32</v>
      </c>
      <c r="BQ287" s="87">
        <f t="shared" si="507"/>
        <v>24551.32</v>
      </c>
      <c r="BR287" s="87">
        <f t="shared" si="508"/>
        <v>24551.32</v>
      </c>
      <c r="BS287" s="87" t="s">
        <v>729</v>
      </c>
      <c r="BT287" s="87"/>
      <c r="BU287" s="85"/>
      <c r="BV287" s="76">
        <f t="shared" si="509"/>
        <v>0</v>
      </c>
      <c r="BY287" s="82"/>
      <c r="BZ287" s="82"/>
      <c r="CC287" s="72"/>
      <c r="CD287" s="71">
        <v>0</v>
      </c>
    </row>
    <row r="288" spans="1:82" s="77" customFormat="1" ht="18" hidden="1" customHeight="1" x14ac:dyDescent="0.25">
      <c r="A288" s="99" t="s">
        <v>58</v>
      </c>
      <c r="B288" s="100"/>
      <c r="C288" s="101"/>
      <c r="D288" s="101"/>
      <c r="E288" s="101"/>
      <c r="F288" s="121" t="s">
        <v>730</v>
      </c>
      <c r="G288" s="115">
        <v>0</v>
      </c>
      <c r="H288" s="115">
        <v>0</v>
      </c>
      <c r="I288" s="115">
        <v>0</v>
      </c>
      <c r="J288" s="83"/>
      <c r="K288" s="115">
        <v>0</v>
      </c>
      <c r="L288" s="115"/>
      <c r="M288" s="115"/>
      <c r="N288" s="115"/>
      <c r="O288" s="115"/>
      <c r="P288" s="115">
        <f t="shared" si="533"/>
        <v>0</v>
      </c>
      <c r="Q288" s="115"/>
      <c r="R288" s="115"/>
      <c r="S288" s="115"/>
      <c r="T288" s="115">
        <f t="shared" si="480"/>
        <v>0</v>
      </c>
      <c r="U288" s="107">
        <f t="shared" si="481"/>
        <v>0</v>
      </c>
      <c r="V288" s="115">
        <f t="shared" si="482"/>
        <v>0</v>
      </c>
      <c r="W288" s="116"/>
      <c r="X288" s="109"/>
      <c r="Y288" s="203">
        <f t="shared" si="483"/>
        <v>0</v>
      </c>
      <c r="Z288" s="85">
        <f t="shared" si="534"/>
        <v>0</v>
      </c>
      <c r="AA288" s="85">
        <f t="shared" si="534"/>
        <v>0</v>
      </c>
      <c r="AB288" s="85">
        <f t="shared" si="534"/>
        <v>0</v>
      </c>
      <c r="AC288" s="85">
        <f t="shared" si="534"/>
        <v>0</v>
      </c>
      <c r="AD288" s="85">
        <f t="shared" si="534"/>
        <v>0</v>
      </c>
      <c r="AE288" s="85">
        <f t="shared" si="534"/>
        <v>0</v>
      </c>
      <c r="AF288" s="85">
        <f t="shared" si="534"/>
        <v>0</v>
      </c>
      <c r="AG288" s="85">
        <f t="shared" si="534"/>
        <v>0</v>
      </c>
      <c r="AH288" s="85">
        <f t="shared" si="534"/>
        <v>0</v>
      </c>
      <c r="AI288" s="85">
        <f t="shared" si="534"/>
        <v>0</v>
      </c>
      <c r="AJ288" s="85">
        <f t="shared" si="534"/>
        <v>0</v>
      </c>
      <c r="AK288" s="86">
        <f t="shared" si="534"/>
        <v>0</v>
      </c>
      <c r="AL288" s="85">
        <f>AD288</f>
        <v>0</v>
      </c>
      <c r="AM288" s="204">
        <f t="shared" si="504"/>
        <v>0</v>
      </c>
      <c r="AN288" s="205">
        <f t="shared" si="505"/>
        <v>0</v>
      </c>
      <c r="AO288" s="206">
        <f t="shared" si="506"/>
        <v>0</v>
      </c>
      <c r="AQ288" s="85"/>
      <c r="AR288" s="85"/>
      <c r="AS288" s="85"/>
      <c r="AT288" s="86">
        <f>AM288</f>
        <v>0</v>
      </c>
      <c r="AU288" s="85">
        <f>AX288</f>
        <v>0</v>
      </c>
      <c r="AV288" s="85">
        <f t="shared" si="540"/>
        <v>0</v>
      </c>
      <c r="AW288" s="85">
        <f t="shared" si="540"/>
        <v>0</v>
      </c>
      <c r="AX288" s="85">
        <f t="shared" si="540"/>
        <v>0</v>
      </c>
      <c r="AY288" s="85">
        <f t="shared" si="540"/>
        <v>0</v>
      </c>
      <c r="AZ288" s="85">
        <f t="shared" si="540"/>
        <v>0</v>
      </c>
      <c r="BA288" s="85">
        <f t="shared" si="540"/>
        <v>0</v>
      </c>
      <c r="BB288" s="85">
        <f t="shared" si="540"/>
        <v>0</v>
      </c>
      <c r="BC288" s="85">
        <f t="shared" si="541"/>
        <v>0</v>
      </c>
      <c r="BD288" s="85">
        <f t="shared" si="541"/>
        <v>0</v>
      </c>
      <c r="BE288" s="85">
        <f t="shared" si="541"/>
        <v>0</v>
      </c>
      <c r="BF288" s="85">
        <f t="shared" si="541"/>
        <v>0</v>
      </c>
      <c r="BG288" s="207">
        <f>BE288-AV288</f>
        <v>0</v>
      </c>
      <c r="BH288" s="85"/>
      <c r="BI288" s="85">
        <f>BF288-AV288</f>
        <v>0</v>
      </c>
      <c r="BJ288" s="85">
        <f>BF288-AU288</f>
        <v>0</v>
      </c>
      <c r="BK288" s="85"/>
      <c r="BL288" s="85"/>
      <c r="BM288" s="85"/>
      <c r="BN288" s="85"/>
      <c r="BO288" s="85"/>
      <c r="BP288" s="85"/>
      <c r="BQ288" s="87">
        <f t="shared" si="507"/>
        <v>0</v>
      </c>
      <c r="BR288" s="87">
        <f t="shared" si="508"/>
        <v>0</v>
      </c>
      <c r="BS288" s="87"/>
      <c r="BT288" s="87"/>
      <c r="BU288" s="85"/>
      <c r="BV288" s="76">
        <f t="shared" si="509"/>
        <v>0</v>
      </c>
      <c r="BY288" s="82"/>
      <c r="BZ288" s="82"/>
      <c r="CC288" s="72"/>
      <c r="CD288" s="85"/>
    </row>
    <row r="289" spans="1:82" s="77" customFormat="1" ht="18" hidden="1" customHeight="1" x14ac:dyDescent="0.25">
      <c r="A289" s="99"/>
      <c r="B289" s="100"/>
      <c r="C289" s="101"/>
      <c r="D289" s="101"/>
      <c r="E289" s="101"/>
      <c r="F289" s="121" t="s">
        <v>731</v>
      </c>
      <c r="G289" s="115">
        <v>0</v>
      </c>
      <c r="H289" s="115">
        <v>0</v>
      </c>
      <c r="I289" s="115">
        <v>0</v>
      </c>
      <c r="J289" s="83"/>
      <c r="K289" s="115">
        <v>0</v>
      </c>
      <c r="L289" s="115"/>
      <c r="M289" s="115"/>
      <c r="N289" s="115"/>
      <c r="O289" s="115"/>
      <c r="P289" s="115">
        <f t="shared" si="533"/>
        <v>0</v>
      </c>
      <c r="Q289" s="115"/>
      <c r="R289" s="115"/>
      <c r="S289" s="115"/>
      <c r="T289" s="115">
        <f t="shared" si="480"/>
        <v>0</v>
      </c>
      <c r="U289" s="107">
        <f t="shared" si="481"/>
        <v>0</v>
      </c>
      <c r="V289" s="115">
        <f t="shared" si="482"/>
        <v>0</v>
      </c>
      <c r="W289" s="116"/>
      <c r="X289" s="109"/>
      <c r="Y289" s="203">
        <f t="shared" si="483"/>
        <v>0</v>
      </c>
      <c r="Z289" s="85">
        <f t="shared" si="534"/>
        <v>0</v>
      </c>
      <c r="AA289" s="85">
        <f t="shared" si="534"/>
        <v>0</v>
      </c>
      <c r="AB289" s="85">
        <f t="shared" si="534"/>
        <v>0</v>
      </c>
      <c r="AC289" s="85">
        <f t="shared" si="534"/>
        <v>0</v>
      </c>
      <c r="AD289" s="85">
        <f t="shared" si="534"/>
        <v>0</v>
      </c>
      <c r="AE289" s="85">
        <f t="shared" si="534"/>
        <v>0</v>
      </c>
      <c r="AF289" s="85">
        <f t="shared" si="534"/>
        <v>0</v>
      </c>
      <c r="AG289" s="85">
        <f t="shared" si="534"/>
        <v>0</v>
      </c>
      <c r="AH289" s="85">
        <f t="shared" si="534"/>
        <v>0</v>
      </c>
      <c r="AI289" s="85">
        <f t="shared" si="534"/>
        <v>0</v>
      </c>
      <c r="AJ289" s="85">
        <f t="shared" si="534"/>
        <v>0</v>
      </c>
      <c r="AK289" s="86">
        <f t="shared" si="534"/>
        <v>0</v>
      </c>
      <c r="AL289" s="85">
        <f>AD289</f>
        <v>0</v>
      </c>
      <c r="AM289" s="204">
        <f t="shared" si="504"/>
        <v>0</v>
      </c>
      <c r="AN289" s="205">
        <f t="shared" si="505"/>
        <v>0</v>
      </c>
      <c r="AO289" s="206">
        <f t="shared" si="506"/>
        <v>0</v>
      </c>
      <c r="AQ289" s="85"/>
      <c r="AR289" s="85"/>
      <c r="AS289" s="85"/>
      <c r="AT289" s="86">
        <f>AM289</f>
        <v>0</v>
      </c>
      <c r="AU289" s="85">
        <f>AX289</f>
        <v>0</v>
      </c>
      <c r="AV289" s="85">
        <f t="shared" si="540"/>
        <v>0</v>
      </c>
      <c r="AW289" s="85">
        <f t="shared" si="540"/>
        <v>0</v>
      </c>
      <c r="AX289" s="85">
        <f t="shared" si="540"/>
        <v>0</v>
      </c>
      <c r="AY289" s="85">
        <f t="shared" si="540"/>
        <v>0</v>
      </c>
      <c r="AZ289" s="85">
        <f t="shared" si="540"/>
        <v>0</v>
      </c>
      <c r="BA289" s="85">
        <f t="shared" si="540"/>
        <v>0</v>
      </c>
      <c r="BB289" s="85">
        <f t="shared" si="540"/>
        <v>0</v>
      </c>
      <c r="BC289" s="85">
        <f t="shared" si="541"/>
        <v>0</v>
      </c>
      <c r="BD289" s="85">
        <f t="shared" si="541"/>
        <v>0</v>
      </c>
      <c r="BE289" s="85">
        <f t="shared" si="541"/>
        <v>0</v>
      </c>
      <c r="BF289" s="85">
        <f t="shared" si="541"/>
        <v>0</v>
      </c>
      <c r="BG289" s="207">
        <f>BE289-AV289</f>
        <v>0</v>
      </c>
      <c r="BH289" s="85"/>
      <c r="BI289" s="85">
        <f>BF289-AV289</f>
        <v>0</v>
      </c>
      <c r="BJ289" s="85">
        <f>BF289-AU289</f>
        <v>0</v>
      </c>
      <c r="BK289" s="85"/>
      <c r="BL289" s="85"/>
      <c r="BM289" s="85"/>
      <c r="BN289" s="85"/>
      <c r="BO289" s="85"/>
      <c r="BP289" s="85"/>
      <c r="BQ289" s="87">
        <f t="shared" si="507"/>
        <v>0</v>
      </c>
      <c r="BR289" s="87">
        <f t="shared" si="508"/>
        <v>0</v>
      </c>
      <c r="BS289" s="87"/>
      <c r="BT289" s="87"/>
      <c r="BU289" s="85"/>
      <c r="BV289" s="76">
        <f t="shared" si="509"/>
        <v>0</v>
      </c>
      <c r="BY289" s="82"/>
      <c r="BZ289" s="82"/>
      <c r="CC289" s="72"/>
      <c r="CD289" s="85"/>
    </row>
    <row r="290" spans="1:82" s="35" customFormat="1" ht="18" customHeight="1" x14ac:dyDescent="0.25">
      <c r="A290" s="38" t="s">
        <v>58</v>
      </c>
      <c r="B290" s="39"/>
      <c r="C290" s="93"/>
      <c r="D290" s="93" t="s">
        <v>732</v>
      </c>
      <c r="E290" s="103"/>
      <c r="F290" s="104"/>
      <c r="G290" s="46">
        <v>292000</v>
      </c>
      <c r="H290" s="46">
        <v>229000</v>
      </c>
      <c r="I290" s="46">
        <f t="shared" ref="I290:O290" si="542">I291</f>
        <v>222700</v>
      </c>
      <c r="J290" s="46" t="str">
        <f t="shared" si="542"/>
        <v xml:space="preserve">          VI) FOREG</v>
      </c>
      <c r="K290" s="46">
        <f t="shared" si="542"/>
        <v>228902.5</v>
      </c>
      <c r="L290" s="46">
        <f t="shared" si="542"/>
        <v>0</v>
      </c>
      <c r="M290" s="46">
        <f t="shared" si="542"/>
        <v>111350</v>
      </c>
      <c r="N290" s="46">
        <f t="shared" si="542"/>
        <v>222700</v>
      </c>
      <c r="O290" s="46">
        <f t="shared" si="542"/>
        <v>222700</v>
      </c>
      <c r="P290" s="46">
        <f t="shared" si="533"/>
        <v>0</v>
      </c>
      <c r="Q290" s="46">
        <f>Q291</f>
        <v>0</v>
      </c>
      <c r="R290" s="46"/>
      <c r="S290" s="46">
        <f>S295</f>
        <v>222700</v>
      </c>
      <c r="T290" s="46">
        <f t="shared" si="480"/>
        <v>0</v>
      </c>
      <c r="U290" s="21">
        <f t="shared" si="481"/>
        <v>-6202.5</v>
      </c>
      <c r="V290" s="46">
        <f t="shared" si="482"/>
        <v>0</v>
      </c>
      <c r="W290" s="47"/>
      <c r="X290" s="23">
        <f>X295</f>
        <v>222700</v>
      </c>
      <c r="Y290" s="24">
        <f t="shared" si="483"/>
        <v>0</v>
      </c>
      <c r="Z290" s="48">
        <f t="shared" ref="Z290:AL290" si="543">Z291</f>
        <v>215459</v>
      </c>
      <c r="AA290" s="48">
        <f t="shared" si="543"/>
        <v>-7241</v>
      </c>
      <c r="AB290" s="48">
        <f t="shared" si="543"/>
        <v>-7241</v>
      </c>
      <c r="AC290" s="48">
        <f t="shared" si="543"/>
        <v>0</v>
      </c>
      <c r="AD290" s="48">
        <f t="shared" si="543"/>
        <v>0</v>
      </c>
      <c r="AE290" s="48">
        <f t="shared" si="543"/>
        <v>0</v>
      </c>
      <c r="AF290" s="48">
        <f t="shared" si="543"/>
        <v>0</v>
      </c>
      <c r="AG290" s="48">
        <f t="shared" si="543"/>
        <v>0</v>
      </c>
      <c r="AH290" s="48">
        <f t="shared" si="543"/>
        <v>215459.04</v>
      </c>
      <c r="AI290" s="48">
        <f t="shared" si="543"/>
        <v>215459</v>
      </c>
      <c r="AJ290" s="48">
        <f t="shared" si="543"/>
        <v>4.0000000008149073E-2</v>
      </c>
      <c r="AK290" s="49">
        <f t="shared" si="543"/>
        <v>215459</v>
      </c>
      <c r="AL290" s="48">
        <f t="shared" si="543"/>
        <v>215459</v>
      </c>
      <c r="AM290" s="27">
        <f t="shared" si="504"/>
        <v>0</v>
      </c>
      <c r="AN290" s="28">
        <f t="shared" si="505"/>
        <v>0</v>
      </c>
      <c r="AO290" s="50">
        <f t="shared" si="506"/>
        <v>0</v>
      </c>
      <c r="AQ290" s="48"/>
      <c r="AR290" s="48"/>
      <c r="AS290" s="48"/>
      <c r="AT290" s="49">
        <f t="shared" ref="AT290:BP290" si="544">AT291</f>
        <v>213241.08</v>
      </c>
      <c r="AU290" s="48">
        <f t="shared" si="544"/>
        <v>255393.04</v>
      </c>
      <c r="AV290" s="48">
        <f t="shared" si="544"/>
        <v>213300</v>
      </c>
      <c r="AW290" s="48">
        <f t="shared" si="544"/>
        <v>-2159</v>
      </c>
      <c r="AX290" s="48">
        <f t="shared" si="544"/>
        <v>-2217.9200000000128</v>
      </c>
      <c r="AY290" s="48">
        <f t="shared" si="544"/>
        <v>-2217.9200000000128</v>
      </c>
      <c r="AZ290" s="48">
        <f t="shared" si="544"/>
        <v>0</v>
      </c>
      <c r="BA290" s="48">
        <f t="shared" si="544"/>
        <v>0</v>
      </c>
      <c r="BB290" s="48">
        <f t="shared" si="544"/>
        <v>0</v>
      </c>
      <c r="BC290" s="48">
        <f t="shared" si="544"/>
        <v>0</v>
      </c>
      <c r="BD290" s="48">
        <f t="shared" si="544"/>
        <v>0</v>
      </c>
      <c r="BE290" s="48">
        <f t="shared" si="544"/>
        <v>213300</v>
      </c>
      <c r="BF290" s="48">
        <f t="shared" si="544"/>
        <v>254057.53</v>
      </c>
      <c r="BG290" s="48">
        <f t="shared" si="544"/>
        <v>0</v>
      </c>
      <c r="BH290" s="48">
        <f t="shared" si="544"/>
        <v>254057.53</v>
      </c>
      <c r="BI290" s="48">
        <f t="shared" si="544"/>
        <v>40757.53</v>
      </c>
      <c r="BJ290" s="48">
        <f t="shared" si="544"/>
        <v>-1335.5100000000093</v>
      </c>
      <c r="BK290" s="48">
        <f t="shared" si="544"/>
        <v>794761.01</v>
      </c>
      <c r="BL290" s="48">
        <f t="shared" si="544"/>
        <v>540703.48</v>
      </c>
      <c r="BM290" s="48">
        <f t="shared" si="544"/>
        <v>581461.01</v>
      </c>
      <c r="BN290" s="48">
        <f t="shared" si="544"/>
        <v>0</v>
      </c>
      <c r="BO290" s="48">
        <f t="shared" si="544"/>
        <v>0</v>
      </c>
      <c r="BP290" s="48">
        <f t="shared" si="544"/>
        <v>1123078.4099999999</v>
      </c>
      <c r="BQ290" s="32">
        <f t="shared" si="507"/>
        <v>328317.39999999991</v>
      </c>
      <c r="BR290" s="32">
        <f t="shared" si="508"/>
        <v>909778.40999999992</v>
      </c>
      <c r="BS290" s="32"/>
      <c r="BT290" s="32"/>
      <c r="BU290" s="33"/>
      <c r="BV290" s="34">
        <f t="shared" si="509"/>
        <v>40757.53</v>
      </c>
      <c r="BY290" s="36"/>
      <c r="BZ290" s="36"/>
      <c r="CC290" s="37"/>
      <c r="CD290" s="48">
        <f>CD291</f>
        <v>255393.04</v>
      </c>
    </row>
    <row r="291" spans="1:82" s="63" customFormat="1" ht="18" customHeight="1" x14ac:dyDescent="0.25">
      <c r="A291" s="96" t="s">
        <v>58</v>
      </c>
      <c r="B291" s="97"/>
      <c r="C291" s="98"/>
      <c r="D291" s="103"/>
      <c r="E291" s="98" t="s">
        <v>732</v>
      </c>
      <c r="F291" s="105"/>
      <c r="G291" s="55">
        <v>292000</v>
      </c>
      <c r="H291" s="55">
        <v>229000</v>
      </c>
      <c r="I291" s="55">
        <f>I295</f>
        <v>222700</v>
      </c>
      <c r="J291" s="55" t="str">
        <f>J295</f>
        <v xml:space="preserve">          VI) FOREG</v>
      </c>
      <c r="K291" s="55">
        <f>SUM(K295:K295)</f>
        <v>228902.5</v>
      </c>
      <c r="L291" s="55">
        <f t="shared" ref="L291:Q291" si="545">L295</f>
        <v>0</v>
      </c>
      <c r="M291" s="55">
        <f t="shared" si="545"/>
        <v>111350</v>
      </c>
      <c r="N291" s="55">
        <f t="shared" si="545"/>
        <v>222700</v>
      </c>
      <c r="O291" s="55">
        <f t="shared" si="545"/>
        <v>222700</v>
      </c>
      <c r="P291" s="55">
        <f t="shared" si="545"/>
        <v>0</v>
      </c>
      <c r="Q291" s="55">
        <f t="shared" si="545"/>
        <v>0</v>
      </c>
      <c r="R291" s="55"/>
      <c r="S291" s="55">
        <f>S295</f>
        <v>222700</v>
      </c>
      <c r="T291" s="55">
        <f t="shared" si="480"/>
        <v>0</v>
      </c>
      <c r="U291" s="56">
        <f t="shared" si="481"/>
        <v>-6202.5</v>
      </c>
      <c r="V291" s="55">
        <f t="shared" si="482"/>
        <v>0</v>
      </c>
      <c r="W291" s="57"/>
      <c r="X291" s="58">
        <f>X295</f>
        <v>222700</v>
      </c>
      <c r="Y291" s="59">
        <f t="shared" si="483"/>
        <v>0</v>
      </c>
      <c r="Z291" s="33">
        <f t="shared" ref="Z291:AL291" si="546">SUM(Z295:Z295)</f>
        <v>215459</v>
      </c>
      <c r="AA291" s="33">
        <f t="shared" si="546"/>
        <v>-7241</v>
      </c>
      <c r="AB291" s="33">
        <f t="shared" si="546"/>
        <v>-7241</v>
      </c>
      <c r="AC291" s="33">
        <f t="shared" si="546"/>
        <v>0</v>
      </c>
      <c r="AD291" s="33">
        <f t="shared" si="546"/>
        <v>0</v>
      </c>
      <c r="AE291" s="33">
        <f t="shared" si="546"/>
        <v>0</v>
      </c>
      <c r="AF291" s="33">
        <f t="shared" si="546"/>
        <v>0</v>
      </c>
      <c r="AG291" s="33">
        <f t="shared" si="546"/>
        <v>0</v>
      </c>
      <c r="AH291" s="33">
        <f t="shared" si="546"/>
        <v>215459.04</v>
      </c>
      <c r="AI291" s="33">
        <f t="shared" si="546"/>
        <v>215459</v>
      </c>
      <c r="AJ291" s="33">
        <f t="shared" si="546"/>
        <v>4.0000000008149073E-2</v>
      </c>
      <c r="AK291" s="60">
        <f t="shared" si="546"/>
        <v>215459</v>
      </c>
      <c r="AL291" s="33">
        <f t="shared" si="546"/>
        <v>215459</v>
      </c>
      <c r="AM291" s="27">
        <f t="shared" si="504"/>
        <v>0</v>
      </c>
      <c r="AN291" s="61">
        <f t="shared" si="505"/>
        <v>0</v>
      </c>
      <c r="AO291" s="62">
        <f t="shared" si="506"/>
        <v>0</v>
      </c>
      <c r="AQ291" s="33"/>
      <c r="AR291" s="33"/>
      <c r="AS291" s="33"/>
      <c r="AT291" s="60">
        <f>SUM(AT295:AT295)</f>
        <v>213241.08</v>
      </c>
      <c r="AU291" s="33">
        <f>SUM(AU295:AU295)</f>
        <v>255393.04</v>
      </c>
      <c r="AV291" s="33">
        <f t="shared" ref="AV291:BP291" si="547">SUM(AV293:AV295)</f>
        <v>213300</v>
      </c>
      <c r="AW291" s="33">
        <f t="shared" si="547"/>
        <v>-2159</v>
      </c>
      <c r="AX291" s="33">
        <f t="shared" si="547"/>
        <v>-2217.9200000000128</v>
      </c>
      <c r="AY291" s="33">
        <f t="shared" si="547"/>
        <v>-2217.9200000000128</v>
      </c>
      <c r="AZ291" s="33">
        <f t="shared" si="547"/>
        <v>0</v>
      </c>
      <c r="BA291" s="33">
        <f t="shared" si="547"/>
        <v>0</v>
      </c>
      <c r="BB291" s="33">
        <f t="shared" si="547"/>
        <v>0</v>
      </c>
      <c r="BC291" s="33">
        <f t="shared" si="547"/>
        <v>0</v>
      </c>
      <c r="BD291" s="33">
        <f t="shared" si="547"/>
        <v>0</v>
      </c>
      <c r="BE291" s="33">
        <f t="shared" si="547"/>
        <v>213300</v>
      </c>
      <c r="BF291" s="33">
        <f t="shared" si="547"/>
        <v>254057.53</v>
      </c>
      <c r="BG291" s="33">
        <f t="shared" si="547"/>
        <v>0</v>
      </c>
      <c r="BH291" s="33">
        <f t="shared" si="547"/>
        <v>254057.53</v>
      </c>
      <c r="BI291" s="33">
        <f t="shared" si="547"/>
        <v>40757.53</v>
      </c>
      <c r="BJ291" s="33">
        <f t="shared" si="547"/>
        <v>-1335.5100000000093</v>
      </c>
      <c r="BK291" s="33">
        <f t="shared" si="547"/>
        <v>794761.01</v>
      </c>
      <c r="BL291" s="33">
        <f t="shared" si="547"/>
        <v>540703.48</v>
      </c>
      <c r="BM291" s="33">
        <f t="shared" si="547"/>
        <v>581461.01</v>
      </c>
      <c r="BN291" s="33">
        <f t="shared" si="547"/>
        <v>0</v>
      </c>
      <c r="BO291" s="33">
        <f t="shared" si="547"/>
        <v>0</v>
      </c>
      <c r="BP291" s="33">
        <f t="shared" si="547"/>
        <v>1123078.4099999999</v>
      </c>
      <c r="BQ291" s="32">
        <f t="shared" si="507"/>
        <v>328317.39999999991</v>
      </c>
      <c r="BR291" s="32">
        <f t="shared" si="508"/>
        <v>909778.40999999992</v>
      </c>
      <c r="BS291" s="32"/>
      <c r="BT291" s="32"/>
      <c r="BU291" s="33"/>
      <c r="BV291" s="34">
        <f t="shared" si="509"/>
        <v>40757.53</v>
      </c>
      <c r="BY291" s="64"/>
      <c r="BZ291" s="64"/>
      <c r="CC291" s="37"/>
      <c r="CD291" s="33">
        <f>SUM(CD293:CD295)</f>
        <v>255393.04</v>
      </c>
    </row>
    <row r="292" spans="1:82" s="77" customFormat="1" ht="18" hidden="1" customHeight="1" x14ac:dyDescent="0.25">
      <c r="A292" s="99" t="s">
        <v>58</v>
      </c>
      <c r="B292" s="100"/>
      <c r="C292" s="101"/>
      <c r="D292" s="93"/>
      <c r="E292" s="98"/>
      <c r="F292" s="121" t="s">
        <v>733</v>
      </c>
      <c r="G292" s="115">
        <v>0</v>
      </c>
      <c r="H292" s="115"/>
      <c r="I292" s="115">
        <v>0</v>
      </c>
      <c r="J292" s="55"/>
      <c r="K292" s="115">
        <v>0</v>
      </c>
      <c r="L292" s="115"/>
      <c r="M292" s="115"/>
      <c r="N292" s="115"/>
      <c r="O292" s="115"/>
      <c r="P292" s="115">
        <f t="shared" ref="P292:P298" si="548">N292-I292</f>
        <v>0</v>
      </c>
      <c r="Q292" s="115"/>
      <c r="R292" s="115"/>
      <c r="S292" s="115"/>
      <c r="T292" s="115">
        <f t="shared" si="480"/>
        <v>0</v>
      </c>
      <c r="U292" s="107">
        <f t="shared" si="481"/>
        <v>0</v>
      </c>
      <c r="V292" s="115">
        <f t="shared" si="482"/>
        <v>0</v>
      </c>
      <c r="W292" s="116"/>
      <c r="X292" s="109"/>
      <c r="Y292" s="24">
        <f t="shared" si="483"/>
        <v>0</v>
      </c>
      <c r="Z292" s="25">
        <f>S292</f>
        <v>0</v>
      </c>
      <c r="AA292" s="110">
        <f t="shared" ref="AA292:AA298" si="549">Z292-I292</f>
        <v>0</v>
      </c>
      <c r="AB292" s="110">
        <f t="shared" ref="AB292:AB298" si="550">Z292-S292</f>
        <v>0</v>
      </c>
      <c r="AC292" s="72"/>
      <c r="AD292" s="72"/>
      <c r="AE292" s="72"/>
      <c r="AF292" s="72"/>
      <c r="AG292" s="72"/>
      <c r="AH292" s="25">
        <f>AA292</f>
        <v>0</v>
      </c>
      <c r="AI292" s="25"/>
      <c r="AJ292" s="25">
        <f t="shared" ref="AJ292:AJ298" si="551">AH292-Z292</f>
        <v>0</v>
      </c>
      <c r="AK292" s="26"/>
      <c r="AL292" s="25"/>
      <c r="AM292" s="27">
        <f t="shared" si="504"/>
        <v>0</v>
      </c>
      <c r="AN292" s="61">
        <f t="shared" si="505"/>
        <v>0</v>
      </c>
      <c r="AO292" s="62">
        <f t="shared" si="506"/>
        <v>0</v>
      </c>
      <c r="AQ292" s="25"/>
      <c r="AR292" s="25"/>
      <c r="AS292" s="25"/>
      <c r="AT292" s="26"/>
      <c r="AU292" s="25"/>
      <c r="AV292" s="25"/>
      <c r="AW292" s="25">
        <f t="shared" ref="AW292:AW298" si="552">AV292-Z292</f>
        <v>0</v>
      </c>
      <c r="AX292" s="76">
        <f t="shared" ref="AX292:AX298" si="553">AT292-Z292</f>
        <v>0</v>
      </c>
      <c r="AY292" s="76">
        <f t="shared" ref="AY292:AY298" si="554">AT292-AL292</f>
        <v>0</v>
      </c>
      <c r="BE292" s="25"/>
      <c r="BF292" s="25"/>
      <c r="BG292" s="78">
        <f t="shared" ref="BG292:BG298" si="555">BE292-AV292</f>
        <v>0</v>
      </c>
      <c r="BH292" s="48"/>
      <c r="BI292" s="33">
        <f t="shared" ref="BI292:BI298" si="556">BF292-AV292</f>
        <v>0</v>
      </c>
      <c r="BJ292" s="33">
        <f t="shared" ref="BJ292:BJ298" si="557">BF292-AU292</f>
        <v>0</v>
      </c>
      <c r="BK292" s="48"/>
      <c r="BL292" s="79">
        <f t="shared" ref="BL292:BL298" si="558">BK292-BH292</f>
        <v>0</v>
      </c>
      <c r="BM292" s="79">
        <f t="shared" ref="BM292:BM298" si="559">BK292-AV292</f>
        <v>0</v>
      </c>
      <c r="BN292" s="32"/>
      <c r="BO292" s="32"/>
      <c r="BP292" s="48"/>
      <c r="BQ292" s="32">
        <f t="shared" si="507"/>
        <v>0</v>
      </c>
      <c r="BR292" s="32">
        <f t="shared" si="508"/>
        <v>0</v>
      </c>
      <c r="BS292" s="32"/>
      <c r="BT292" s="32"/>
      <c r="BU292" s="33"/>
      <c r="BV292" s="34">
        <f t="shared" si="509"/>
        <v>0</v>
      </c>
      <c r="BY292" s="82"/>
      <c r="BZ292" s="82"/>
      <c r="CC292" s="37"/>
      <c r="CD292" s="48"/>
    </row>
    <row r="293" spans="1:82" s="77" customFormat="1" ht="18" customHeight="1" x14ac:dyDescent="0.25">
      <c r="A293" s="99" t="s">
        <v>58</v>
      </c>
      <c r="B293" s="100"/>
      <c r="C293" s="101"/>
      <c r="D293" s="93"/>
      <c r="E293" s="98"/>
      <c r="F293" s="121" t="s">
        <v>734</v>
      </c>
      <c r="G293" s="115">
        <v>0</v>
      </c>
      <c r="H293" s="115"/>
      <c r="I293" s="115">
        <v>0</v>
      </c>
      <c r="J293" s="55"/>
      <c r="K293" s="115">
        <v>0</v>
      </c>
      <c r="L293" s="115"/>
      <c r="M293" s="115"/>
      <c r="N293" s="115"/>
      <c r="O293" s="115"/>
      <c r="P293" s="115">
        <f t="shared" si="548"/>
        <v>0</v>
      </c>
      <c r="Q293" s="115"/>
      <c r="R293" s="115"/>
      <c r="S293" s="115"/>
      <c r="T293" s="115">
        <f t="shared" si="480"/>
        <v>0</v>
      </c>
      <c r="U293" s="107">
        <f t="shared" si="481"/>
        <v>0</v>
      </c>
      <c r="V293" s="115">
        <f t="shared" si="482"/>
        <v>0</v>
      </c>
      <c r="W293" s="116"/>
      <c r="X293" s="109"/>
      <c r="Y293" s="24">
        <f t="shared" si="483"/>
        <v>0</v>
      </c>
      <c r="Z293" s="25">
        <f>S293</f>
        <v>0</v>
      </c>
      <c r="AA293" s="110">
        <f t="shared" si="549"/>
        <v>0</v>
      </c>
      <c r="AB293" s="110">
        <f t="shared" si="550"/>
        <v>0</v>
      </c>
      <c r="AC293" s="72"/>
      <c r="AD293" s="72"/>
      <c r="AE293" s="72"/>
      <c r="AF293" s="72"/>
      <c r="AG293" s="72"/>
      <c r="AH293" s="25">
        <f>AA293</f>
        <v>0</v>
      </c>
      <c r="AI293" s="25"/>
      <c r="AJ293" s="25">
        <f t="shared" si="551"/>
        <v>0</v>
      </c>
      <c r="AK293" s="26"/>
      <c r="AL293" s="25"/>
      <c r="AM293" s="27">
        <f t="shared" si="504"/>
        <v>0</v>
      </c>
      <c r="AN293" s="61">
        <f t="shared" si="505"/>
        <v>0</v>
      </c>
      <c r="AO293" s="62">
        <f t="shared" si="506"/>
        <v>0</v>
      </c>
      <c r="AQ293" s="25"/>
      <c r="AR293" s="25"/>
      <c r="AS293" s="25"/>
      <c r="AT293" s="26"/>
      <c r="AU293" s="25"/>
      <c r="AV293" s="71">
        <v>0</v>
      </c>
      <c r="AW293" s="25">
        <f t="shared" si="552"/>
        <v>0</v>
      </c>
      <c r="AX293" s="76">
        <f t="shared" si="553"/>
        <v>0</v>
      </c>
      <c r="AY293" s="76">
        <f t="shared" si="554"/>
        <v>0</v>
      </c>
      <c r="BE293" s="25"/>
      <c r="BF293" s="25"/>
      <c r="BG293" s="78">
        <f t="shared" si="555"/>
        <v>0</v>
      </c>
      <c r="BH293" s="48">
        <v>0</v>
      </c>
      <c r="BI293" s="33">
        <f t="shared" si="556"/>
        <v>0</v>
      </c>
      <c r="BJ293" s="33">
        <f t="shared" si="557"/>
        <v>0</v>
      </c>
      <c r="BK293" s="71">
        <v>151151.4</v>
      </c>
      <c r="BL293" s="79">
        <f t="shared" si="558"/>
        <v>151151.4</v>
      </c>
      <c r="BM293" s="79">
        <f t="shared" si="559"/>
        <v>151151.4</v>
      </c>
      <c r="BN293" s="32"/>
      <c r="BO293" s="32"/>
      <c r="BP293" s="71">
        <f>287502.15+41110.47+65677.97</f>
        <v>394290.58999999997</v>
      </c>
      <c r="BQ293" s="32">
        <f t="shared" si="507"/>
        <v>243139.18999999997</v>
      </c>
      <c r="BR293" s="32">
        <f t="shared" si="508"/>
        <v>394290.58999999997</v>
      </c>
      <c r="BS293" s="32"/>
      <c r="BT293" s="32"/>
      <c r="BU293" s="33"/>
      <c r="BV293" s="34">
        <f t="shared" si="509"/>
        <v>0</v>
      </c>
      <c r="BY293" s="82"/>
      <c r="BZ293" s="82"/>
      <c r="CC293" s="37"/>
      <c r="CD293" s="71">
        <v>0</v>
      </c>
    </row>
    <row r="294" spans="1:82" s="77" customFormat="1" ht="18" customHeight="1" x14ac:dyDescent="0.25">
      <c r="A294" s="99" t="s">
        <v>58</v>
      </c>
      <c r="B294" s="100"/>
      <c r="C294" s="101"/>
      <c r="D294" s="93"/>
      <c r="E294" s="98"/>
      <c r="F294" s="121" t="s">
        <v>735</v>
      </c>
      <c r="G294" s="115">
        <v>0</v>
      </c>
      <c r="H294" s="115"/>
      <c r="I294" s="115">
        <v>0</v>
      </c>
      <c r="J294" s="208"/>
      <c r="K294" s="115">
        <v>0</v>
      </c>
      <c r="L294" s="115"/>
      <c r="M294" s="115"/>
      <c r="N294" s="115"/>
      <c r="O294" s="115"/>
      <c r="P294" s="115">
        <f t="shared" si="548"/>
        <v>0</v>
      </c>
      <c r="Q294" s="115"/>
      <c r="R294" s="115"/>
      <c r="S294" s="115"/>
      <c r="T294" s="115">
        <f t="shared" si="480"/>
        <v>0</v>
      </c>
      <c r="U294" s="107">
        <f t="shared" si="481"/>
        <v>0</v>
      </c>
      <c r="V294" s="115">
        <f t="shared" si="482"/>
        <v>0</v>
      </c>
      <c r="W294" s="116"/>
      <c r="X294" s="109"/>
      <c r="Y294" s="24">
        <f t="shared" si="483"/>
        <v>0</v>
      </c>
      <c r="Z294" s="25">
        <f>S294</f>
        <v>0</v>
      </c>
      <c r="AA294" s="110">
        <f t="shared" si="549"/>
        <v>0</v>
      </c>
      <c r="AB294" s="110">
        <f t="shared" si="550"/>
        <v>0</v>
      </c>
      <c r="AC294" s="72"/>
      <c r="AD294" s="72"/>
      <c r="AE294" s="72"/>
      <c r="AF294" s="72"/>
      <c r="AG294" s="72"/>
      <c r="AH294" s="25">
        <f>AA294</f>
        <v>0</v>
      </c>
      <c r="AI294" s="25"/>
      <c r="AJ294" s="25">
        <f t="shared" si="551"/>
        <v>0</v>
      </c>
      <c r="AK294" s="26"/>
      <c r="AL294" s="25"/>
      <c r="AM294" s="27">
        <f t="shared" si="504"/>
        <v>0</v>
      </c>
      <c r="AN294" s="61">
        <f t="shared" si="505"/>
        <v>0</v>
      </c>
      <c r="AO294" s="62">
        <f t="shared" si="506"/>
        <v>0</v>
      </c>
      <c r="AQ294" s="25"/>
      <c r="AR294" s="25"/>
      <c r="AS294" s="25"/>
      <c r="AT294" s="26"/>
      <c r="AU294" s="25"/>
      <c r="AV294" s="71">
        <v>0</v>
      </c>
      <c r="AW294" s="25">
        <f t="shared" si="552"/>
        <v>0</v>
      </c>
      <c r="AX294" s="76">
        <f t="shared" si="553"/>
        <v>0</v>
      </c>
      <c r="AY294" s="76">
        <f t="shared" si="554"/>
        <v>0</v>
      </c>
      <c r="BE294" s="25"/>
      <c r="BF294" s="25"/>
      <c r="BG294" s="78">
        <f t="shared" si="555"/>
        <v>0</v>
      </c>
      <c r="BH294" s="48">
        <v>0</v>
      </c>
      <c r="BI294" s="33">
        <f t="shared" si="556"/>
        <v>0</v>
      </c>
      <c r="BJ294" s="33">
        <f t="shared" si="557"/>
        <v>0</v>
      </c>
      <c r="BK294" s="71">
        <v>389552.08</v>
      </c>
      <c r="BL294" s="79">
        <f t="shared" si="558"/>
        <v>389552.08</v>
      </c>
      <c r="BM294" s="79">
        <f t="shared" si="559"/>
        <v>389552.08</v>
      </c>
      <c r="BN294" s="32"/>
      <c r="BO294" s="32"/>
      <c r="BP294" s="71">
        <v>474687.82</v>
      </c>
      <c r="BQ294" s="32">
        <f t="shared" si="507"/>
        <v>85135.739999999991</v>
      </c>
      <c r="BR294" s="32">
        <f t="shared" si="508"/>
        <v>474687.82</v>
      </c>
      <c r="BS294" s="32"/>
      <c r="BT294" s="32"/>
      <c r="BU294" s="33"/>
      <c r="BV294" s="34">
        <f t="shared" si="509"/>
        <v>0</v>
      </c>
      <c r="BY294" s="82"/>
      <c r="BZ294" s="82"/>
      <c r="CC294" s="37"/>
      <c r="CD294" s="71">
        <v>0</v>
      </c>
    </row>
    <row r="295" spans="1:82" s="77" customFormat="1" ht="18" customHeight="1" x14ac:dyDescent="0.25">
      <c r="A295" s="99"/>
      <c r="B295" s="100"/>
      <c r="C295" s="101"/>
      <c r="D295" s="93"/>
      <c r="E295" s="98"/>
      <c r="F295" s="121" t="s">
        <v>736</v>
      </c>
      <c r="G295" s="83">
        <v>292000</v>
      </c>
      <c r="H295" s="83">
        <v>229000</v>
      </c>
      <c r="I295" s="83">
        <v>222700</v>
      </c>
      <c r="J295" s="70" t="s">
        <v>737</v>
      </c>
      <c r="K295" s="83">
        <v>228902.5</v>
      </c>
      <c r="L295" s="83">
        <v>0</v>
      </c>
      <c r="M295" s="83">
        <f>222700/2</f>
        <v>111350</v>
      </c>
      <c r="N295" s="83">
        <f>M295*2</f>
        <v>222700</v>
      </c>
      <c r="O295" s="83">
        <f>I295</f>
        <v>222700</v>
      </c>
      <c r="P295" s="83">
        <f t="shared" si="548"/>
        <v>0</v>
      </c>
      <c r="Q295" s="83"/>
      <c r="R295" s="83"/>
      <c r="S295" s="83">
        <f>O295</f>
        <v>222700</v>
      </c>
      <c r="T295" s="83">
        <f t="shared" si="480"/>
        <v>0</v>
      </c>
      <c r="U295" s="83">
        <f t="shared" si="481"/>
        <v>-6202.5</v>
      </c>
      <c r="V295" s="83">
        <f t="shared" si="482"/>
        <v>0</v>
      </c>
      <c r="W295" s="84"/>
      <c r="X295" s="83">
        <f>S295</f>
        <v>222700</v>
      </c>
      <c r="Y295" s="47">
        <f t="shared" si="483"/>
        <v>0</v>
      </c>
      <c r="Z295" s="85">
        <v>215459</v>
      </c>
      <c r="AA295" s="29">
        <f t="shared" si="549"/>
        <v>-7241</v>
      </c>
      <c r="AB295" s="29">
        <f t="shared" si="550"/>
        <v>-7241</v>
      </c>
      <c r="AC295" s="72" t="s">
        <v>657</v>
      </c>
      <c r="AD295" s="72"/>
      <c r="AE295" s="72"/>
      <c r="AF295" s="72"/>
      <c r="AG295" s="72"/>
      <c r="AH295" s="85">
        <f>'[1]COSTO PERSONALE'!$B$20</f>
        <v>215459.04</v>
      </c>
      <c r="AI295" s="85">
        <f>Z295</f>
        <v>215459</v>
      </c>
      <c r="AJ295" s="85">
        <f t="shared" si="551"/>
        <v>4.0000000008149073E-2</v>
      </c>
      <c r="AK295" s="86">
        <v>215459</v>
      </c>
      <c r="AL295" s="85">
        <v>215459</v>
      </c>
      <c r="AM295" s="74">
        <f t="shared" si="504"/>
        <v>0</v>
      </c>
      <c r="AN295" s="33">
        <f t="shared" si="505"/>
        <v>0</v>
      </c>
      <c r="AO295" s="75">
        <f t="shared" si="506"/>
        <v>0</v>
      </c>
      <c r="AQ295" s="85"/>
      <c r="AR295" s="85"/>
      <c r="AS295" s="85"/>
      <c r="AT295" s="86">
        <v>213241.08</v>
      </c>
      <c r="AU295" s="71">
        <v>255393.04</v>
      </c>
      <c r="AV295" s="71">
        <f>CEILING(AT295,100)</f>
        <v>213300</v>
      </c>
      <c r="AW295" s="71">
        <f t="shared" si="552"/>
        <v>-2159</v>
      </c>
      <c r="AX295" s="76">
        <f t="shared" si="553"/>
        <v>-2217.9200000000128</v>
      </c>
      <c r="AY295" s="76">
        <f t="shared" si="554"/>
        <v>-2217.9200000000128</v>
      </c>
      <c r="BE295" s="71">
        <f>AV295</f>
        <v>213300</v>
      </c>
      <c r="BF295" s="71">
        <v>254057.53</v>
      </c>
      <c r="BG295" s="78">
        <f t="shared" si="555"/>
        <v>0</v>
      </c>
      <c r="BH295" s="71">
        <f>BF295</f>
        <v>254057.53</v>
      </c>
      <c r="BI295" s="33">
        <f t="shared" si="556"/>
        <v>40757.53</v>
      </c>
      <c r="BJ295" s="33">
        <f t="shared" si="557"/>
        <v>-1335.5100000000093</v>
      </c>
      <c r="BK295" s="71">
        <f>BH295</f>
        <v>254057.53</v>
      </c>
      <c r="BL295" s="79">
        <f t="shared" si="558"/>
        <v>0</v>
      </c>
      <c r="BM295" s="79">
        <f t="shared" si="559"/>
        <v>40757.53</v>
      </c>
      <c r="BN295" s="91" t="s">
        <v>738</v>
      </c>
      <c r="BO295" s="91" t="s">
        <v>739</v>
      </c>
      <c r="BP295" s="71">
        <v>254100</v>
      </c>
      <c r="BQ295" s="32">
        <f t="shared" si="507"/>
        <v>42.470000000001164</v>
      </c>
      <c r="BR295" s="32">
        <f t="shared" si="508"/>
        <v>40800</v>
      </c>
      <c r="BS295" s="92"/>
      <c r="BT295" s="91" t="s">
        <v>738</v>
      </c>
      <c r="BU295" s="33"/>
      <c r="BV295" s="34">
        <f t="shared" si="509"/>
        <v>40757.53</v>
      </c>
      <c r="BY295" s="82"/>
      <c r="BZ295" s="82"/>
      <c r="CC295" s="37"/>
      <c r="CD295" s="71">
        <v>255393.04</v>
      </c>
    </row>
    <row r="296" spans="1:82" s="35" customFormat="1" ht="18" hidden="1" customHeight="1" x14ac:dyDescent="0.25">
      <c r="A296" s="38" t="s">
        <v>58</v>
      </c>
      <c r="B296" s="39"/>
      <c r="C296" s="93"/>
      <c r="D296" s="93" t="s">
        <v>740</v>
      </c>
      <c r="E296" s="98"/>
      <c r="F296" s="104"/>
      <c r="G296" s="46">
        <v>0</v>
      </c>
      <c r="H296" s="46"/>
      <c r="I296" s="46">
        <f>I297</f>
        <v>0</v>
      </c>
      <c r="J296" s="70"/>
      <c r="K296" s="46">
        <f>K297</f>
        <v>0</v>
      </c>
      <c r="L296" s="46"/>
      <c r="M296" s="46"/>
      <c r="N296" s="46"/>
      <c r="O296" s="46"/>
      <c r="P296" s="46">
        <f t="shared" si="548"/>
        <v>0</v>
      </c>
      <c r="Q296" s="46">
        <f>Q297</f>
        <v>0</v>
      </c>
      <c r="R296" s="46"/>
      <c r="S296" s="46"/>
      <c r="T296" s="46">
        <f t="shared" si="480"/>
        <v>0</v>
      </c>
      <c r="U296" s="21">
        <f t="shared" si="481"/>
        <v>0</v>
      </c>
      <c r="V296" s="46">
        <f t="shared" si="482"/>
        <v>0</v>
      </c>
      <c r="W296" s="47"/>
      <c r="X296" s="23"/>
      <c r="Y296" s="24">
        <f t="shared" si="483"/>
        <v>0</v>
      </c>
      <c r="Z296" s="48">
        <f>S296</f>
        <v>0</v>
      </c>
      <c r="AA296" s="110">
        <f t="shared" si="549"/>
        <v>0</v>
      </c>
      <c r="AB296" s="110">
        <f t="shared" si="550"/>
        <v>0</v>
      </c>
      <c r="AC296" s="29"/>
      <c r="AD296" s="29"/>
      <c r="AE296" s="29"/>
      <c r="AF296" s="29"/>
      <c r="AG296" s="29"/>
      <c r="AH296" s="48">
        <f>AA296</f>
        <v>0</v>
      </c>
      <c r="AI296" s="48"/>
      <c r="AJ296" s="48">
        <f t="shared" si="551"/>
        <v>0</v>
      </c>
      <c r="AK296" s="49"/>
      <c r="AL296" s="48"/>
      <c r="AM296" s="27">
        <f t="shared" si="504"/>
        <v>0</v>
      </c>
      <c r="AN296" s="61">
        <f t="shared" si="505"/>
        <v>0</v>
      </c>
      <c r="AO296" s="62">
        <f t="shared" si="506"/>
        <v>0</v>
      </c>
      <c r="AQ296" s="48"/>
      <c r="AR296" s="48"/>
      <c r="AS296" s="48"/>
      <c r="AT296" s="49"/>
      <c r="AU296" s="48"/>
      <c r="AV296" s="48"/>
      <c r="AW296" s="48">
        <f t="shared" si="552"/>
        <v>0</v>
      </c>
      <c r="AX296" s="76">
        <f t="shared" si="553"/>
        <v>0</v>
      </c>
      <c r="AY296" s="76">
        <f t="shared" si="554"/>
        <v>0</v>
      </c>
      <c r="BE296" s="48"/>
      <c r="BF296" s="48"/>
      <c r="BG296" s="78">
        <f t="shared" si="555"/>
        <v>0</v>
      </c>
      <c r="BH296" s="48"/>
      <c r="BI296" s="78">
        <f t="shared" si="556"/>
        <v>0</v>
      </c>
      <c r="BJ296" s="78">
        <f t="shared" si="557"/>
        <v>0</v>
      </c>
      <c r="BK296" s="48"/>
      <c r="BL296" s="79">
        <f t="shared" si="558"/>
        <v>0</v>
      </c>
      <c r="BM296" s="79">
        <f t="shared" si="559"/>
        <v>0</v>
      </c>
      <c r="BN296" s="32"/>
      <c r="BO296" s="32"/>
      <c r="BP296" s="48"/>
      <c r="BQ296" s="31">
        <f t="shared" si="507"/>
        <v>0</v>
      </c>
      <c r="BR296" s="31">
        <f t="shared" si="508"/>
        <v>0</v>
      </c>
      <c r="BS296" s="32"/>
      <c r="BT296" s="32"/>
      <c r="BU296" s="33"/>
      <c r="BV296" s="34">
        <f t="shared" si="509"/>
        <v>0</v>
      </c>
      <c r="BY296" s="36"/>
      <c r="BZ296" s="36"/>
      <c r="CC296" s="37"/>
      <c r="CD296" s="48"/>
    </row>
    <row r="297" spans="1:82" s="77" customFormat="1" ht="18" hidden="1" customHeight="1" x14ac:dyDescent="0.25">
      <c r="A297" s="99" t="s">
        <v>58</v>
      </c>
      <c r="B297" s="100"/>
      <c r="C297" s="101"/>
      <c r="D297" s="93"/>
      <c r="E297" s="98" t="s">
        <v>740</v>
      </c>
      <c r="F297" s="121"/>
      <c r="G297" s="83">
        <v>0</v>
      </c>
      <c r="H297" s="83"/>
      <c r="I297" s="83">
        <v>0</v>
      </c>
      <c r="J297" s="70"/>
      <c r="K297" s="83">
        <v>0</v>
      </c>
      <c r="L297" s="83"/>
      <c r="M297" s="83"/>
      <c r="N297" s="83"/>
      <c r="O297" s="83"/>
      <c r="P297" s="83">
        <f t="shared" si="548"/>
        <v>0</v>
      </c>
      <c r="Q297" s="83"/>
      <c r="R297" s="83"/>
      <c r="S297" s="83"/>
      <c r="T297" s="83">
        <f t="shared" si="480"/>
        <v>0</v>
      </c>
      <c r="U297" s="107">
        <f t="shared" si="481"/>
        <v>0</v>
      </c>
      <c r="V297" s="83">
        <f t="shared" si="482"/>
        <v>0</v>
      </c>
      <c r="W297" s="84"/>
      <c r="X297" s="109"/>
      <c r="Y297" s="24">
        <f t="shared" si="483"/>
        <v>0</v>
      </c>
      <c r="Z297" s="48">
        <f>S297</f>
        <v>0</v>
      </c>
      <c r="AA297" s="110">
        <f t="shared" si="549"/>
        <v>0</v>
      </c>
      <c r="AB297" s="110">
        <f t="shared" si="550"/>
        <v>0</v>
      </c>
      <c r="AC297" s="72"/>
      <c r="AD297" s="72"/>
      <c r="AE297" s="72"/>
      <c r="AF297" s="72"/>
      <c r="AG297" s="72"/>
      <c r="AH297" s="48">
        <f>AA297</f>
        <v>0</v>
      </c>
      <c r="AI297" s="48"/>
      <c r="AJ297" s="48">
        <f t="shared" si="551"/>
        <v>0</v>
      </c>
      <c r="AK297" s="49"/>
      <c r="AL297" s="48"/>
      <c r="AM297" s="27">
        <f t="shared" si="504"/>
        <v>0</v>
      </c>
      <c r="AN297" s="61">
        <f t="shared" si="505"/>
        <v>0</v>
      </c>
      <c r="AO297" s="62">
        <f t="shared" si="506"/>
        <v>0</v>
      </c>
      <c r="AQ297" s="48"/>
      <c r="AR297" s="48"/>
      <c r="AS297" s="48"/>
      <c r="AT297" s="49"/>
      <c r="AU297" s="48"/>
      <c r="AV297" s="48"/>
      <c r="AW297" s="48">
        <f t="shared" si="552"/>
        <v>0</v>
      </c>
      <c r="AX297" s="76">
        <f t="shared" si="553"/>
        <v>0</v>
      </c>
      <c r="AY297" s="76">
        <f t="shared" si="554"/>
        <v>0</v>
      </c>
      <c r="BE297" s="48"/>
      <c r="BF297" s="48"/>
      <c r="BG297" s="78">
        <f t="shared" si="555"/>
        <v>0</v>
      </c>
      <c r="BH297" s="48"/>
      <c r="BI297" s="78">
        <f t="shared" si="556"/>
        <v>0</v>
      </c>
      <c r="BJ297" s="78">
        <f t="shared" si="557"/>
        <v>0</v>
      </c>
      <c r="BK297" s="48"/>
      <c r="BL297" s="79">
        <f t="shared" si="558"/>
        <v>0</v>
      </c>
      <c r="BM297" s="79">
        <f t="shared" si="559"/>
        <v>0</v>
      </c>
      <c r="BN297" s="32"/>
      <c r="BO297" s="32"/>
      <c r="BP297" s="48"/>
      <c r="BQ297" s="31">
        <f t="shared" si="507"/>
        <v>0</v>
      </c>
      <c r="BR297" s="31">
        <f t="shared" si="508"/>
        <v>0</v>
      </c>
      <c r="BS297" s="32"/>
      <c r="BT297" s="32"/>
      <c r="BU297" s="33"/>
      <c r="BV297" s="34">
        <f t="shared" si="509"/>
        <v>0</v>
      </c>
      <c r="BY297" s="82"/>
      <c r="BZ297" s="82"/>
      <c r="CC297" s="37"/>
      <c r="CD297" s="48"/>
    </row>
    <row r="298" spans="1:82" s="77" customFormat="1" ht="18" hidden="1" customHeight="1" x14ac:dyDescent="0.25">
      <c r="A298" s="99" t="s">
        <v>58</v>
      </c>
      <c r="B298" s="100"/>
      <c r="C298" s="101"/>
      <c r="D298" s="93"/>
      <c r="E298" s="98"/>
      <c r="F298" s="121" t="s">
        <v>741</v>
      </c>
      <c r="G298" s="115">
        <v>0</v>
      </c>
      <c r="H298" s="115"/>
      <c r="I298" s="115">
        <v>0</v>
      </c>
      <c r="J298" s="70"/>
      <c r="K298" s="115">
        <v>0</v>
      </c>
      <c r="L298" s="115"/>
      <c r="M298" s="115"/>
      <c r="N298" s="115"/>
      <c r="O298" s="115"/>
      <c r="P298" s="115">
        <f t="shared" si="548"/>
        <v>0</v>
      </c>
      <c r="Q298" s="115"/>
      <c r="R298" s="115"/>
      <c r="S298" s="115"/>
      <c r="T298" s="115">
        <f t="shared" si="480"/>
        <v>0</v>
      </c>
      <c r="U298" s="107">
        <f t="shared" si="481"/>
        <v>0</v>
      </c>
      <c r="V298" s="115">
        <f t="shared" si="482"/>
        <v>0</v>
      </c>
      <c r="W298" s="116"/>
      <c r="X298" s="109"/>
      <c r="Y298" s="24">
        <f t="shared" si="483"/>
        <v>0</v>
      </c>
      <c r="Z298" s="117"/>
      <c r="AA298" s="110">
        <f t="shared" si="549"/>
        <v>0</v>
      </c>
      <c r="AB298" s="110">
        <f t="shared" si="550"/>
        <v>0</v>
      </c>
      <c r="AC298" s="72"/>
      <c r="AD298" s="72"/>
      <c r="AE298" s="72"/>
      <c r="AF298" s="72"/>
      <c r="AG298" s="72"/>
      <c r="AH298" s="117"/>
      <c r="AI298" s="117"/>
      <c r="AJ298" s="117">
        <f t="shared" si="551"/>
        <v>0</v>
      </c>
      <c r="AK298" s="118"/>
      <c r="AL298" s="117"/>
      <c r="AM298" s="27">
        <f t="shared" si="504"/>
        <v>0</v>
      </c>
      <c r="AN298" s="61">
        <f t="shared" si="505"/>
        <v>0</v>
      </c>
      <c r="AO298" s="62">
        <f t="shared" si="506"/>
        <v>0</v>
      </c>
      <c r="AQ298" s="117"/>
      <c r="AR298" s="117"/>
      <c r="AS298" s="117"/>
      <c r="AT298" s="118"/>
      <c r="AU298" s="117"/>
      <c r="AV298" s="117"/>
      <c r="AW298" s="117">
        <f t="shared" si="552"/>
        <v>0</v>
      </c>
      <c r="AX298" s="76">
        <f t="shared" si="553"/>
        <v>0</v>
      </c>
      <c r="AY298" s="76">
        <f t="shared" si="554"/>
        <v>0</v>
      </c>
      <c r="BE298" s="117"/>
      <c r="BF298" s="117"/>
      <c r="BG298" s="78">
        <f t="shared" si="555"/>
        <v>0</v>
      </c>
      <c r="BH298" s="117"/>
      <c r="BI298" s="78">
        <f t="shared" si="556"/>
        <v>0</v>
      </c>
      <c r="BJ298" s="78">
        <f t="shared" si="557"/>
        <v>0</v>
      </c>
      <c r="BK298" s="117"/>
      <c r="BL298" s="79">
        <f t="shared" si="558"/>
        <v>0</v>
      </c>
      <c r="BM298" s="79">
        <f t="shared" si="559"/>
        <v>0</v>
      </c>
      <c r="BN298" s="32"/>
      <c r="BO298" s="32"/>
      <c r="BP298" s="117"/>
      <c r="BQ298" s="31">
        <f t="shared" si="507"/>
        <v>0</v>
      </c>
      <c r="BR298" s="31">
        <f t="shared" si="508"/>
        <v>0</v>
      </c>
      <c r="BS298" s="32"/>
      <c r="BT298" s="32"/>
      <c r="BU298" s="33"/>
      <c r="BV298" s="34">
        <f t="shared" si="509"/>
        <v>0</v>
      </c>
      <c r="BY298" s="82"/>
      <c r="BZ298" s="82"/>
      <c r="CC298" s="37"/>
      <c r="CD298" s="117"/>
    </row>
    <row r="299" spans="1:82" s="35" customFormat="1" ht="18" customHeight="1" x14ac:dyDescent="0.25">
      <c r="A299" s="38" t="s">
        <v>58</v>
      </c>
      <c r="B299" s="39"/>
      <c r="C299" s="119" t="s">
        <v>742</v>
      </c>
      <c r="D299" s="119"/>
      <c r="E299" s="122"/>
      <c r="F299" s="40"/>
      <c r="G299" s="20">
        <v>31450</v>
      </c>
      <c r="H299" s="20">
        <v>34460</v>
      </c>
      <c r="I299" s="20">
        <f t="shared" ref="I299:Q299" si="560">I300</f>
        <v>32450</v>
      </c>
      <c r="J299" s="20" t="str">
        <f t="shared" si="560"/>
        <v xml:space="preserve">               Oneri diversi di gestione</v>
      </c>
      <c r="K299" s="20">
        <f t="shared" si="560"/>
        <v>43791.7</v>
      </c>
      <c r="L299" s="20">
        <f t="shared" si="560"/>
        <v>52272.639999999999</v>
      </c>
      <c r="M299" s="20">
        <f t="shared" si="560"/>
        <v>43579.025000000001</v>
      </c>
      <c r="N299" s="20">
        <f t="shared" si="560"/>
        <v>62847.71</v>
      </c>
      <c r="O299" s="20">
        <f t="shared" si="560"/>
        <v>63497.71</v>
      </c>
      <c r="P299" s="20">
        <f t="shared" si="560"/>
        <v>30397.71</v>
      </c>
      <c r="Q299" s="20">
        <f t="shared" si="560"/>
        <v>61659.19</v>
      </c>
      <c r="R299" s="20"/>
      <c r="S299" s="20">
        <f>S300</f>
        <v>69384.059999999983</v>
      </c>
      <c r="T299" s="20">
        <f t="shared" si="480"/>
        <v>36934.059999999983</v>
      </c>
      <c r="U299" s="21">
        <f t="shared" si="481"/>
        <v>25592.359999999986</v>
      </c>
      <c r="V299" s="20">
        <f t="shared" si="482"/>
        <v>5886.349999999984</v>
      </c>
      <c r="W299" s="22"/>
      <c r="X299" s="23">
        <f>X300</f>
        <v>71546.793939393945</v>
      </c>
      <c r="Y299" s="24">
        <f t="shared" si="483"/>
        <v>2162.7339393939619</v>
      </c>
      <c r="Z299" s="25">
        <f t="shared" ref="Z299:AL299" si="561">Z300</f>
        <v>34585</v>
      </c>
      <c r="AA299" s="25">
        <f t="shared" si="561"/>
        <v>2135</v>
      </c>
      <c r="AB299" s="25">
        <f t="shared" si="561"/>
        <v>-34799.060000000005</v>
      </c>
      <c r="AC299" s="25">
        <f t="shared" si="561"/>
        <v>0</v>
      </c>
      <c r="AD299" s="25">
        <f t="shared" si="561"/>
        <v>0</v>
      </c>
      <c r="AE299" s="25">
        <f t="shared" si="561"/>
        <v>0</v>
      </c>
      <c r="AF299" s="25">
        <f t="shared" si="561"/>
        <v>0</v>
      </c>
      <c r="AG299" s="25">
        <f t="shared" si="561"/>
        <v>0</v>
      </c>
      <c r="AH299" s="25">
        <f t="shared" si="561"/>
        <v>34585</v>
      </c>
      <c r="AI299" s="25">
        <f t="shared" si="561"/>
        <v>72977.025714285715</v>
      </c>
      <c r="AJ299" s="25">
        <f t="shared" si="561"/>
        <v>0</v>
      </c>
      <c r="AK299" s="26">
        <f t="shared" si="561"/>
        <v>73179.636666666658</v>
      </c>
      <c r="AL299" s="25">
        <f t="shared" si="561"/>
        <v>73541.980909090911</v>
      </c>
      <c r="AM299" s="27">
        <f t="shared" si="504"/>
        <v>564.95519480519579</v>
      </c>
      <c r="AN299" s="28">
        <f t="shared" si="505"/>
        <v>38956.980909090911</v>
      </c>
      <c r="AO299" s="50">
        <f t="shared" si="506"/>
        <v>38392.025714285715</v>
      </c>
      <c r="AQ299" s="25"/>
      <c r="AR299" s="25"/>
      <c r="AS299" s="25"/>
      <c r="AT299" s="26">
        <f t="shared" ref="AT299:BP299" si="562">AT300</f>
        <v>39506.730909090911</v>
      </c>
      <c r="AU299" s="25">
        <f t="shared" si="562"/>
        <v>229992.84</v>
      </c>
      <c r="AV299" s="25">
        <f t="shared" si="562"/>
        <v>39900</v>
      </c>
      <c r="AW299" s="25">
        <f t="shared" si="562"/>
        <v>5315</v>
      </c>
      <c r="AX299" s="25">
        <f t="shared" si="562"/>
        <v>4921.7309090909084</v>
      </c>
      <c r="AY299" s="25">
        <f t="shared" si="562"/>
        <v>-34035.25</v>
      </c>
      <c r="AZ299" s="25">
        <f t="shared" si="562"/>
        <v>0</v>
      </c>
      <c r="BA299" s="25">
        <f t="shared" si="562"/>
        <v>0</v>
      </c>
      <c r="BB299" s="25">
        <f t="shared" si="562"/>
        <v>0</v>
      </c>
      <c r="BC299" s="25">
        <f t="shared" si="562"/>
        <v>0</v>
      </c>
      <c r="BD299" s="25">
        <f t="shared" si="562"/>
        <v>0</v>
      </c>
      <c r="BE299" s="25">
        <f t="shared" si="562"/>
        <v>39900</v>
      </c>
      <c r="BF299" s="25">
        <f t="shared" si="562"/>
        <v>43849.991428571426</v>
      </c>
      <c r="BG299" s="25">
        <f t="shared" si="562"/>
        <v>0</v>
      </c>
      <c r="BH299" s="25">
        <f t="shared" si="562"/>
        <v>45304.901428571422</v>
      </c>
      <c r="BI299" s="25">
        <f t="shared" si="562"/>
        <v>3949.9914285714285</v>
      </c>
      <c r="BJ299" s="25">
        <f t="shared" si="562"/>
        <v>-186142.84857142859</v>
      </c>
      <c r="BK299" s="25">
        <f t="shared" si="562"/>
        <v>46491.452393939398</v>
      </c>
      <c r="BL299" s="25">
        <f t="shared" si="562"/>
        <v>1186.550965367963</v>
      </c>
      <c r="BM299" s="25">
        <f t="shared" si="562"/>
        <v>6591.4523939393912</v>
      </c>
      <c r="BN299" s="25">
        <f t="shared" si="562"/>
        <v>0</v>
      </c>
      <c r="BO299" s="25">
        <f t="shared" si="562"/>
        <v>0</v>
      </c>
      <c r="BP299" s="25">
        <f t="shared" si="562"/>
        <v>46859.62</v>
      </c>
      <c r="BQ299" s="31">
        <f t="shared" si="507"/>
        <v>368.16760606060416</v>
      </c>
      <c r="BR299" s="31">
        <f t="shared" si="508"/>
        <v>6959.6200000000026</v>
      </c>
      <c r="BS299" s="32"/>
      <c r="BT299" s="32"/>
      <c r="BU299" s="33"/>
      <c r="BV299" s="34">
        <f t="shared" si="509"/>
        <v>5404.901428571422</v>
      </c>
      <c r="BY299" s="36"/>
      <c r="BZ299" s="36"/>
      <c r="CC299" s="37"/>
      <c r="CD299" s="25">
        <f>CD300</f>
        <v>229992.84</v>
      </c>
    </row>
    <row r="300" spans="1:82" s="35" customFormat="1" ht="18" customHeight="1" x14ac:dyDescent="0.25">
      <c r="A300" s="38" t="s">
        <v>58</v>
      </c>
      <c r="B300" s="39"/>
      <c r="C300" s="93"/>
      <c r="D300" s="93" t="s">
        <v>743</v>
      </c>
      <c r="E300" s="103"/>
      <c r="F300" s="104"/>
      <c r="G300" s="46">
        <v>31450</v>
      </c>
      <c r="H300" s="46">
        <v>34460</v>
      </c>
      <c r="I300" s="46">
        <f>I301+I308</f>
        <v>32450</v>
      </c>
      <c r="J300" s="209" t="s">
        <v>744</v>
      </c>
      <c r="K300" s="46">
        <f t="shared" ref="K300:Q300" si="563">K301+K308</f>
        <v>43791.7</v>
      </c>
      <c r="L300" s="46">
        <f t="shared" si="563"/>
        <v>52272.639999999999</v>
      </c>
      <c r="M300" s="46">
        <f t="shared" si="563"/>
        <v>43579.025000000001</v>
      </c>
      <c r="N300" s="46">
        <f t="shared" si="563"/>
        <v>62847.71</v>
      </c>
      <c r="O300" s="46">
        <f t="shared" si="563"/>
        <v>63497.71</v>
      </c>
      <c r="P300" s="46">
        <f t="shared" si="563"/>
        <v>30397.71</v>
      </c>
      <c r="Q300" s="46">
        <f t="shared" si="563"/>
        <v>61659.19</v>
      </c>
      <c r="R300" s="46"/>
      <c r="S300" s="46">
        <f>S301+S308</f>
        <v>69384.059999999983</v>
      </c>
      <c r="T300" s="46">
        <f t="shared" si="480"/>
        <v>36934.059999999983</v>
      </c>
      <c r="U300" s="21">
        <f t="shared" si="481"/>
        <v>25592.359999999986</v>
      </c>
      <c r="V300" s="46">
        <f t="shared" si="482"/>
        <v>5886.349999999984</v>
      </c>
      <c r="W300" s="47"/>
      <c r="X300" s="23">
        <f>X301+X308</f>
        <v>71546.793939393945</v>
      </c>
      <c r="Y300" s="24">
        <f t="shared" si="483"/>
        <v>2162.7339393939619</v>
      </c>
      <c r="Z300" s="48">
        <f t="shared" ref="Z300:AL300" si="564">Z301+Z308</f>
        <v>34585</v>
      </c>
      <c r="AA300" s="48">
        <f t="shared" si="564"/>
        <v>2135</v>
      </c>
      <c r="AB300" s="48">
        <f t="shared" si="564"/>
        <v>-34799.060000000005</v>
      </c>
      <c r="AC300" s="48">
        <f t="shared" si="564"/>
        <v>0</v>
      </c>
      <c r="AD300" s="48">
        <f t="shared" si="564"/>
        <v>0</v>
      </c>
      <c r="AE300" s="48">
        <f t="shared" si="564"/>
        <v>0</v>
      </c>
      <c r="AF300" s="48">
        <f t="shared" si="564"/>
        <v>0</v>
      </c>
      <c r="AG300" s="48">
        <f t="shared" si="564"/>
        <v>0</v>
      </c>
      <c r="AH300" s="48">
        <f t="shared" si="564"/>
        <v>34585</v>
      </c>
      <c r="AI300" s="48">
        <f t="shared" si="564"/>
        <v>72977.025714285715</v>
      </c>
      <c r="AJ300" s="48">
        <f t="shared" si="564"/>
        <v>0</v>
      </c>
      <c r="AK300" s="49">
        <f t="shared" si="564"/>
        <v>73179.636666666658</v>
      </c>
      <c r="AL300" s="48">
        <f t="shared" si="564"/>
        <v>73541.980909090911</v>
      </c>
      <c r="AM300" s="27">
        <f t="shared" si="504"/>
        <v>564.95519480519579</v>
      </c>
      <c r="AN300" s="28">
        <f t="shared" si="505"/>
        <v>38956.980909090911</v>
      </c>
      <c r="AO300" s="50">
        <f t="shared" si="506"/>
        <v>38392.025714285715</v>
      </c>
      <c r="AQ300" s="48"/>
      <c r="AR300" s="48"/>
      <c r="AS300" s="48"/>
      <c r="AT300" s="49">
        <f t="shared" ref="AT300:BP300" si="565">AT301+AT308</f>
        <v>39506.730909090911</v>
      </c>
      <c r="AU300" s="48">
        <f t="shared" si="565"/>
        <v>229992.84</v>
      </c>
      <c r="AV300" s="48">
        <f t="shared" si="565"/>
        <v>39900</v>
      </c>
      <c r="AW300" s="48">
        <f t="shared" si="565"/>
        <v>5315</v>
      </c>
      <c r="AX300" s="48">
        <f t="shared" si="565"/>
        <v>4921.7309090909084</v>
      </c>
      <c r="AY300" s="48">
        <f t="shared" si="565"/>
        <v>-34035.25</v>
      </c>
      <c r="AZ300" s="48">
        <f t="shared" si="565"/>
        <v>0</v>
      </c>
      <c r="BA300" s="48">
        <f t="shared" si="565"/>
        <v>0</v>
      </c>
      <c r="BB300" s="48">
        <f t="shared" si="565"/>
        <v>0</v>
      </c>
      <c r="BC300" s="48">
        <f t="shared" si="565"/>
        <v>0</v>
      </c>
      <c r="BD300" s="48">
        <f t="shared" si="565"/>
        <v>0</v>
      </c>
      <c r="BE300" s="48">
        <f t="shared" si="565"/>
        <v>39900</v>
      </c>
      <c r="BF300" s="48">
        <f t="shared" si="565"/>
        <v>43849.991428571426</v>
      </c>
      <c r="BG300" s="48">
        <f t="shared" si="565"/>
        <v>0</v>
      </c>
      <c r="BH300" s="48">
        <f t="shared" si="565"/>
        <v>45304.901428571422</v>
      </c>
      <c r="BI300" s="48">
        <f t="shared" si="565"/>
        <v>3949.9914285714285</v>
      </c>
      <c r="BJ300" s="48">
        <f t="shared" si="565"/>
        <v>-186142.84857142859</v>
      </c>
      <c r="BK300" s="48">
        <f t="shared" si="565"/>
        <v>46491.452393939398</v>
      </c>
      <c r="BL300" s="48">
        <f t="shared" si="565"/>
        <v>1186.550965367963</v>
      </c>
      <c r="BM300" s="48">
        <f t="shared" si="565"/>
        <v>6591.4523939393912</v>
      </c>
      <c r="BN300" s="48">
        <f t="shared" si="565"/>
        <v>0</v>
      </c>
      <c r="BO300" s="48">
        <f t="shared" si="565"/>
        <v>0</v>
      </c>
      <c r="BP300" s="48">
        <f t="shared" si="565"/>
        <v>46859.62</v>
      </c>
      <c r="BQ300" s="31">
        <f t="shared" si="507"/>
        <v>368.16760606060416</v>
      </c>
      <c r="BR300" s="31">
        <f t="shared" si="508"/>
        <v>6959.6200000000026</v>
      </c>
      <c r="BS300" s="32"/>
      <c r="BT300" s="32"/>
      <c r="BU300" s="33"/>
      <c r="BV300" s="34">
        <f t="shared" si="509"/>
        <v>5404.901428571422</v>
      </c>
      <c r="BY300" s="36"/>
      <c r="BZ300" s="36"/>
      <c r="CC300" s="37"/>
      <c r="CD300" s="48">
        <f>CD301+CD308</f>
        <v>229992.84</v>
      </c>
    </row>
    <row r="301" spans="1:82" s="63" customFormat="1" ht="18" customHeight="1" x14ac:dyDescent="0.25">
      <c r="A301" s="96" t="s">
        <v>58</v>
      </c>
      <c r="B301" s="97"/>
      <c r="C301" s="98"/>
      <c r="D301" s="103"/>
      <c r="E301" s="98" t="s">
        <v>745</v>
      </c>
      <c r="F301" s="105"/>
      <c r="G301" s="55">
        <v>350</v>
      </c>
      <c r="H301" s="55">
        <v>550</v>
      </c>
      <c r="I301" s="55">
        <f>SUM(I304:I307)</f>
        <v>350</v>
      </c>
      <c r="J301" s="148" t="s">
        <v>746</v>
      </c>
      <c r="K301" s="55">
        <f>SUM(K304:K307)</f>
        <v>459.23</v>
      </c>
      <c r="L301" s="55">
        <f>SUM(L304:L307)</f>
        <v>259.52999999999997</v>
      </c>
      <c r="M301" s="55">
        <f>M304+M306</f>
        <v>129.76499999999999</v>
      </c>
      <c r="N301" s="55">
        <f>N304+N306</f>
        <v>259.52999999999997</v>
      </c>
      <c r="O301" s="55">
        <f>O304+O306</f>
        <v>259.52999999999997</v>
      </c>
      <c r="P301" s="55">
        <f>P304+P306</f>
        <v>-90.47</v>
      </c>
      <c r="Q301" s="55">
        <f>Q304+Q306</f>
        <v>259.52999999999997</v>
      </c>
      <c r="R301" s="55"/>
      <c r="S301" s="55">
        <f>S304+S306</f>
        <v>259.52999999999997</v>
      </c>
      <c r="T301" s="55">
        <f t="shared" si="480"/>
        <v>-90.470000000000027</v>
      </c>
      <c r="U301" s="56">
        <f t="shared" si="481"/>
        <v>-199.70000000000005</v>
      </c>
      <c r="V301" s="55">
        <f t="shared" si="482"/>
        <v>0</v>
      </c>
      <c r="W301" s="57"/>
      <c r="X301" s="58">
        <f>X304+X306</f>
        <v>259.52999999999997</v>
      </c>
      <c r="Y301" s="59">
        <f t="shared" si="483"/>
        <v>0</v>
      </c>
      <c r="Z301" s="33">
        <f t="shared" ref="Z301:AL301" si="566">Z304+Z306</f>
        <v>260</v>
      </c>
      <c r="AA301" s="33">
        <f t="shared" si="566"/>
        <v>-90</v>
      </c>
      <c r="AB301" s="33">
        <f t="shared" si="566"/>
        <v>0.47000000000000597</v>
      </c>
      <c r="AC301" s="33">
        <f t="shared" si="566"/>
        <v>0</v>
      </c>
      <c r="AD301" s="33">
        <f t="shared" si="566"/>
        <v>0</v>
      </c>
      <c r="AE301" s="33">
        <f t="shared" si="566"/>
        <v>0</v>
      </c>
      <c r="AF301" s="33">
        <f t="shared" si="566"/>
        <v>0</v>
      </c>
      <c r="AG301" s="33">
        <f t="shared" si="566"/>
        <v>0</v>
      </c>
      <c r="AH301" s="33">
        <f t="shared" si="566"/>
        <v>260</v>
      </c>
      <c r="AI301" s="33">
        <f t="shared" si="566"/>
        <v>259.73</v>
      </c>
      <c r="AJ301" s="33">
        <f t="shared" si="566"/>
        <v>0</v>
      </c>
      <c r="AK301" s="60">
        <f t="shared" si="566"/>
        <v>259.73</v>
      </c>
      <c r="AL301" s="33">
        <f t="shared" si="566"/>
        <v>259.73</v>
      </c>
      <c r="AM301" s="27">
        <f t="shared" si="504"/>
        <v>0</v>
      </c>
      <c r="AN301" s="61">
        <f t="shared" si="505"/>
        <v>-0.26999999999998181</v>
      </c>
      <c r="AO301" s="62">
        <f t="shared" si="506"/>
        <v>-0.26999999999998181</v>
      </c>
      <c r="AQ301" s="33"/>
      <c r="AR301" s="33"/>
      <c r="AS301" s="33"/>
      <c r="AT301" s="60">
        <f t="shared" ref="AT301:BP301" si="567">AT304+AT306</f>
        <v>259.73</v>
      </c>
      <c r="AU301" s="33">
        <f t="shared" si="567"/>
        <v>259.73</v>
      </c>
      <c r="AV301" s="33">
        <f t="shared" si="567"/>
        <v>400</v>
      </c>
      <c r="AW301" s="33">
        <f t="shared" si="567"/>
        <v>140</v>
      </c>
      <c r="AX301" s="33">
        <f t="shared" si="567"/>
        <v>-0.27000000000000579</v>
      </c>
      <c r="AY301" s="33">
        <f t="shared" si="567"/>
        <v>0</v>
      </c>
      <c r="AZ301" s="33">
        <f t="shared" si="567"/>
        <v>0</v>
      </c>
      <c r="BA301" s="33">
        <f t="shared" si="567"/>
        <v>0</v>
      </c>
      <c r="BB301" s="33">
        <f t="shared" si="567"/>
        <v>0</v>
      </c>
      <c r="BC301" s="33">
        <f t="shared" si="567"/>
        <v>0</v>
      </c>
      <c r="BD301" s="33">
        <f t="shared" si="567"/>
        <v>0</v>
      </c>
      <c r="BE301" s="33">
        <f t="shared" si="567"/>
        <v>400</v>
      </c>
      <c r="BF301" s="33">
        <f t="shared" si="567"/>
        <v>304.13</v>
      </c>
      <c r="BG301" s="33">
        <f t="shared" si="567"/>
        <v>0</v>
      </c>
      <c r="BH301" s="33">
        <f t="shared" si="567"/>
        <v>304.13</v>
      </c>
      <c r="BI301" s="33">
        <f t="shared" si="567"/>
        <v>-95.87</v>
      </c>
      <c r="BJ301" s="33">
        <f t="shared" si="567"/>
        <v>44.400000000000006</v>
      </c>
      <c r="BK301" s="33">
        <f t="shared" si="567"/>
        <v>257.73</v>
      </c>
      <c r="BL301" s="33">
        <f t="shared" si="567"/>
        <v>-46.400000000000006</v>
      </c>
      <c r="BM301" s="33">
        <f t="shared" si="567"/>
        <v>-142.27000000000001</v>
      </c>
      <c r="BN301" s="33">
        <f t="shared" si="567"/>
        <v>0</v>
      </c>
      <c r="BO301" s="33">
        <f t="shared" si="567"/>
        <v>0</v>
      </c>
      <c r="BP301" s="33">
        <f t="shared" si="567"/>
        <v>257.73</v>
      </c>
      <c r="BQ301" s="31">
        <f t="shared" si="507"/>
        <v>0</v>
      </c>
      <c r="BR301" s="31">
        <f t="shared" si="508"/>
        <v>-142.26999999999998</v>
      </c>
      <c r="BS301" s="32"/>
      <c r="BT301" s="32"/>
      <c r="BU301" s="33"/>
      <c r="BV301" s="34">
        <f t="shared" si="509"/>
        <v>-95.87</v>
      </c>
      <c r="BY301" s="64"/>
      <c r="BZ301" s="64"/>
      <c r="CC301" s="37"/>
      <c r="CD301" s="33">
        <f>CD304+CD306</f>
        <v>259.73</v>
      </c>
    </row>
    <row r="302" spans="1:82" s="77" customFormat="1" ht="18" hidden="1" customHeight="1" x14ac:dyDescent="0.25">
      <c r="A302" s="99" t="s">
        <v>58</v>
      </c>
      <c r="B302" s="100"/>
      <c r="C302" s="101"/>
      <c r="D302" s="93"/>
      <c r="E302" s="98"/>
      <c r="F302" s="121" t="s">
        <v>747</v>
      </c>
      <c r="G302" s="115">
        <v>0</v>
      </c>
      <c r="H302" s="115"/>
      <c r="I302" s="115">
        <v>0</v>
      </c>
      <c r="J302" s="70"/>
      <c r="K302" s="115">
        <v>0</v>
      </c>
      <c r="L302" s="115"/>
      <c r="M302" s="115"/>
      <c r="N302" s="115"/>
      <c r="O302" s="115"/>
      <c r="P302" s="115">
        <f t="shared" ref="P302:P307" si="568">N302-I302</f>
        <v>0</v>
      </c>
      <c r="Q302" s="115"/>
      <c r="R302" s="115"/>
      <c r="S302" s="115"/>
      <c r="T302" s="115">
        <f t="shared" si="480"/>
        <v>0</v>
      </c>
      <c r="U302" s="107">
        <f t="shared" si="481"/>
        <v>0</v>
      </c>
      <c r="V302" s="115">
        <f t="shared" si="482"/>
        <v>0</v>
      </c>
      <c r="W302" s="116"/>
      <c r="X302" s="109"/>
      <c r="Y302" s="24">
        <f t="shared" si="483"/>
        <v>0</v>
      </c>
      <c r="Z302" s="117"/>
      <c r="AA302" s="110">
        <f t="shared" ref="AA302:AA307" si="569">Z302-I302</f>
        <v>0</v>
      </c>
      <c r="AB302" s="110">
        <f t="shared" ref="AB302:AB307" si="570">Z302-S302</f>
        <v>0</v>
      </c>
      <c r="AC302" s="72"/>
      <c r="AD302" s="72"/>
      <c r="AE302" s="72"/>
      <c r="AF302" s="72"/>
      <c r="AG302" s="72"/>
      <c r="AH302" s="117"/>
      <c r="AI302" s="117"/>
      <c r="AJ302" s="117">
        <f t="shared" ref="AJ302:AJ307" si="571">AH302-Z302</f>
        <v>0</v>
      </c>
      <c r="AK302" s="118"/>
      <c r="AL302" s="117"/>
      <c r="AM302" s="27">
        <f t="shared" si="504"/>
        <v>0</v>
      </c>
      <c r="AN302" s="61">
        <f t="shared" si="505"/>
        <v>0</v>
      </c>
      <c r="AO302" s="62">
        <f t="shared" si="506"/>
        <v>0</v>
      </c>
      <c r="AQ302" s="117"/>
      <c r="AR302" s="117"/>
      <c r="AS302" s="117"/>
      <c r="AT302" s="118"/>
      <c r="AU302" s="117"/>
      <c r="AV302" s="117"/>
      <c r="AW302" s="117">
        <f t="shared" ref="AW302:AW307" si="572">AV302-Z302</f>
        <v>0</v>
      </c>
      <c r="AX302" s="76">
        <f t="shared" ref="AX302:AX307" si="573">AT302-Z302</f>
        <v>0</v>
      </c>
      <c r="AY302" s="76">
        <f t="shared" ref="AY302:AY307" si="574">AT302-AL302</f>
        <v>0</v>
      </c>
      <c r="BE302" s="117"/>
      <c r="BF302" s="117"/>
      <c r="BG302" s="78">
        <f t="shared" ref="BG302:BG307" si="575">BE302-AV302</f>
        <v>0</v>
      </c>
      <c r="BH302" s="85"/>
      <c r="BI302" s="33">
        <f t="shared" ref="BI302:BI307" si="576">BF302-AV302</f>
        <v>0</v>
      </c>
      <c r="BJ302" s="33">
        <f t="shared" ref="BJ302:BJ307" si="577">BF302-AU302</f>
        <v>0</v>
      </c>
      <c r="BK302" s="85"/>
      <c r="BL302" s="79">
        <f t="shared" ref="BL302:BL307" si="578">BK302-BH302</f>
        <v>0</v>
      </c>
      <c r="BM302" s="79">
        <f t="shared" ref="BM302:BM307" si="579">BK302-AV302</f>
        <v>0</v>
      </c>
      <c r="BN302" s="32"/>
      <c r="BO302" s="32"/>
      <c r="BP302" s="85"/>
      <c r="BQ302" s="31">
        <f t="shared" si="507"/>
        <v>0</v>
      </c>
      <c r="BR302" s="31">
        <f t="shared" si="508"/>
        <v>0</v>
      </c>
      <c r="BS302" s="32"/>
      <c r="BT302" s="32"/>
      <c r="BU302" s="33"/>
      <c r="BV302" s="34">
        <f t="shared" si="509"/>
        <v>0</v>
      </c>
      <c r="BY302" s="82"/>
      <c r="BZ302" s="82"/>
      <c r="CC302" s="37"/>
      <c r="CD302" s="85"/>
    </row>
    <row r="303" spans="1:82" s="77" customFormat="1" ht="18" hidden="1" customHeight="1" x14ac:dyDescent="0.25">
      <c r="A303" s="99" t="s">
        <v>58</v>
      </c>
      <c r="B303" s="100"/>
      <c r="C303" s="101"/>
      <c r="D303" s="93"/>
      <c r="E303" s="98"/>
      <c r="F303" s="121" t="s">
        <v>748</v>
      </c>
      <c r="G303" s="115">
        <v>0</v>
      </c>
      <c r="H303" s="115"/>
      <c r="I303" s="115">
        <v>0</v>
      </c>
      <c r="J303" s="70"/>
      <c r="K303" s="115">
        <v>0</v>
      </c>
      <c r="L303" s="115"/>
      <c r="M303" s="115"/>
      <c r="N303" s="115"/>
      <c r="O303" s="115"/>
      <c r="P303" s="115">
        <f t="shared" si="568"/>
        <v>0</v>
      </c>
      <c r="Q303" s="115"/>
      <c r="R303" s="115"/>
      <c r="S303" s="115"/>
      <c r="T303" s="115">
        <f t="shared" si="480"/>
        <v>0</v>
      </c>
      <c r="U303" s="107">
        <f t="shared" si="481"/>
        <v>0</v>
      </c>
      <c r="V303" s="115">
        <f t="shared" si="482"/>
        <v>0</v>
      </c>
      <c r="W303" s="116"/>
      <c r="X303" s="109"/>
      <c r="Y303" s="24">
        <f t="shared" si="483"/>
        <v>0</v>
      </c>
      <c r="Z303" s="117"/>
      <c r="AA303" s="110">
        <f t="shared" si="569"/>
        <v>0</v>
      </c>
      <c r="AB303" s="110">
        <f t="shared" si="570"/>
        <v>0</v>
      </c>
      <c r="AC303" s="72"/>
      <c r="AD303" s="72"/>
      <c r="AE303" s="72"/>
      <c r="AF303" s="72"/>
      <c r="AG303" s="72"/>
      <c r="AH303" s="117"/>
      <c r="AI303" s="117"/>
      <c r="AJ303" s="117">
        <f t="shared" si="571"/>
        <v>0</v>
      </c>
      <c r="AK303" s="118"/>
      <c r="AL303" s="117"/>
      <c r="AM303" s="27">
        <f t="shared" si="504"/>
        <v>0</v>
      </c>
      <c r="AN303" s="61">
        <f t="shared" si="505"/>
        <v>0</v>
      </c>
      <c r="AO303" s="62">
        <f t="shared" si="506"/>
        <v>0</v>
      </c>
      <c r="AQ303" s="117"/>
      <c r="AR303" s="117"/>
      <c r="AS303" s="117"/>
      <c r="AT303" s="118"/>
      <c r="AU303" s="117"/>
      <c r="AV303" s="117"/>
      <c r="AW303" s="117">
        <f t="shared" si="572"/>
        <v>0</v>
      </c>
      <c r="AX303" s="76">
        <f t="shared" si="573"/>
        <v>0</v>
      </c>
      <c r="AY303" s="76">
        <f t="shared" si="574"/>
        <v>0</v>
      </c>
      <c r="BE303" s="117"/>
      <c r="BF303" s="117"/>
      <c r="BG303" s="78">
        <f t="shared" si="575"/>
        <v>0</v>
      </c>
      <c r="BH303" s="85"/>
      <c r="BI303" s="33">
        <f t="shared" si="576"/>
        <v>0</v>
      </c>
      <c r="BJ303" s="33">
        <f t="shared" si="577"/>
        <v>0</v>
      </c>
      <c r="BK303" s="85"/>
      <c r="BL303" s="79">
        <f t="shared" si="578"/>
        <v>0</v>
      </c>
      <c r="BM303" s="79">
        <f t="shared" si="579"/>
        <v>0</v>
      </c>
      <c r="BN303" s="32"/>
      <c r="BO303" s="32"/>
      <c r="BP303" s="85"/>
      <c r="BQ303" s="31">
        <f t="shared" si="507"/>
        <v>0</v>
      </c>
      <c r="BR303" s="31">
        <f t="shared" si="508"/>
        <v>0</v>
      </c>
      <c r="BS303" s="32"/>
      <c r="BT303" s="32"/>
      <c r="BU303" s="33"/>
      <c r="BV303" s="34">
        <f t="shared" si="509"/>
        <v>0</v>
      </c>
      <c r="BY303" s="82"/>
      <c r="BZ303" s="82"/>
      <c r="CC303" s="37"/>
      <c r="CD303" s="85"/>
    </row>
    <row r="304" spans="1:82" s="77" customFormat="1" ht="18" customHeight="1" x14ac:dyDescent="0.25">
      <c r="A304" s="99" t="s">
        <v>58</v>
      </c>
      <c r="B304" s="100"/>
      <c r="C304" s="101"/>
      <c r="D304" s="93"/>
      <c r="E304" s="98"/>
      <c r="F304" s="121" t="s">
        <v>749</v>
      </c>
      <c r="G304" s="106">
        <v>300</v>
      </c>
      <c r="H304" s="106">
        <v>300</v>
      </c>
      <c r="I304" s="106">
        <v>300</v>
      </c>
      <c r="J304" s="70" t="s">
        <v>750</v>
      </c>
      <c r="K304" s="106">
        <v>253.6</v>
      </c>
      <c r="L304" s="106">
        <v>253.6</v>
      </c>
      <c r="M304" s="106">
        <f>L304/2</f>
        <v>126.8</v>
      </c>
      <c r="N304" s="106">
        <f>M304*2</f>
        <v>253.6</v>
      </c>
      <c r="O304" s="106">
        <f>N304</f>
        <v>253.6</v>
      </c>
      <c r="P304" s="106">
        <f t="shared" si="568"/>
        <v>-46.400000000000006</v>
      </c>
      <c r="Q304" s="106">
        <v>253.6</v>
      </c>
      <c r="R304" s="106"/>
      <c r="S304" s="106">
        <f>Q304</f>
        <v>253.6</v>
      </c>
      <c r="T304" s="106">
        <f t="shared" si="480"/>
        <v>-46.400000000000006</v>
      </c>
      <c r="U304" s="107">
        <f t="shared" si="481"/>
        <v>0</v>
      </c>
      <c r="V304" s="106">
        <f t="shared" si="482"/>
        <v>0</v>
      </c>
      <c r="W304" s="108"/>
      <c r="X304" s="109">
        <f>S304</f>
        <v>253.6</v>
      </c>
      <c r="Y304" s="24">
        <f t="shared" si="483"/>
        <v>0</v>
      </c>
      <c r="Z304" s="85">
        <v>254</v>
      </c>
      <c r="AA304" s="29">
        <f t="shared" si="569"/>
        <v>-46</v>
      </c>
      <c r="AB304" s="29">
        <f t="shared" si="570"/>
        <v>0.40000000000000568</v>
      </c>
      <c r="AC304" s="72"/>
      <c r="AD304" s="72"/>
      <c r="AE304" s="72"/>
      <c r="AF304" s="72"/>
      <c r="AG304" s="72"/>
      <c r="AH304" s="85">
        <f>Z304</f>
        <v>254</v>
      </c>
      <c r="AI304" s="85">
        <v>253.6</v>
      </c>
      <c r="AJ304" s="85">
        <f t="shared" si="571"/>
        <v>0</v>
      </c>
      <c r="AK304" s="86">
        <v>253.6</v>
      </c>
      <c r="AL304" s="123">
        <v>253.6</v>
      </c>
      <c r="AM304" s="27">
        <f t="shared" si="504"/>
        <v>0</v>
      </c>
      <c r="AN304" s="61">
        <f t="shared" si="505"/>
        <v>-0.40000000000000568</v>
      </c>
      <c r="AO304" s="62">
        <f t="shared" si="506"/>
        <v>-0.40000000000000568</v>
      </c>
      <c r="AQ304" s="85" t="s">
        <v>286</v>
      </c>
      <c r="AR304" s="85" t="s">
        <v>286</v>
      </c>
      <c r="AS304" s="85" t="s">
        <v>286</v>
      </c>
      <c r="AT304" s="86">
        <v>253.6</v>
      </c>
      <c r="AU304" s="71">
        <v>253.6</v>
      </c>
      <c r="AV304" s="71">
        <f>CEILING(AT304,100)</f>
        <v>300</v>
      </c>
      <c r="AW304" s="71">
        <f t="shared" si="572"/>
        <v>46</v>
      </c>
      <c r="AX304" s="76">
        <f t="shared" si="573"/>
        <v>-0.40000000000000568</v>
      </c>
      <c r="AY304" s="76">
        <f t="shared" si="574"/>
        <v>0</v>
      </c>
      <c r="BE304" s="71">
        <v>300</v>
      </c>
      <c r="BF304" s="71">
        <f>AV304</f>
        <v>300</v>
      </c>
      <c r="BG304" s="78">
        <f t="shared" si="575"/>
        <v>0</v>
      </c>
      <c r="BH304" s="71">
        <f>BF304</f>
        <v>300</v>
      </c>
      <c r="BI304" s="33">
        <f t="shared" si="576"/>
        <v>0</v>
      </c>
      <c r="BJ304" s="33">
        <f t="shared" si="577"/>
        <v>46.400000000000006</v>
      </c>
      <c r="BK304" s="71">
        <v>253.6</v>
      </c>
      <c r="BL304" s="79">
        <f t="shared" si="578"/>
        <v>-46.400000000000006</v>
      </c>
      <c r="BM304" s="79">
        <f t="shared" si="579"/>
        <v>-46.400000000000006</v>
      </c>
      <c r="BN304" s="32"/>
      <c r="BO304" s="32"/>
      <c r="BP304" s="71">
        <v>253.6</v>
      </c>
      <c r="BQ304" s="32">
        <f t="shared" si="507"/>
        <v>0</v>
      </c>
      <c r="BR304" s="32">
        <f t="shared" si="508"/>
        <v>-46.400000000000006</v>
      </c>
      <c r="BS304" s="32"/>
      <c r="BT304" s="32"/>
      <c r="BU304" s="33"/>
      <c r="BV304" s="34">
        <f t="shared" si="509"/>
        <v>0</v>
      </c>
      <c r="BY304" s="82"/>
      <c r="BZ304" s="82"/>
      <c r="CC304" s="37"/>
      <c r="CD304" s="71">
        <v>253.6</v>
      </c>
    </row>
    <row r="305" spans="1:82" s="77" customFormat="1" ht="18" hidden="1" customHeight="1" x14ac:dyDescent="0.25">
      <c r="A305" s="99" t="s">
        <v>58</v>
      </c>
      <c r="B305" s="100"/>
      <c r="C305" s="101"/>
      <c r="D305" s="93"/>
      <c r="E305" s="98"/>
      <c r="F305" s="121" t="s">
        <v>751</v>
      </c>
      <c r="G305" s="106">
        <v>0</v>
      </c>
      <c r="H305" s="106"/>
      <c r="I305" s="106">
        <v>0</v>
      </c>
      <c r="J305" s="70"/>
      <c r="K305" s="106">
        <v>0</v>
      </c>
      <c r="L305" s="106"/>
      <c r="M305" s="106"/>
      <c r="N305" s="106"/>
      <c r="O305" s="106"/>
      <c r="P305" s="106">
        <f t="shared" si="568"/>
        <v>0</v>
      </c>
      <c r="Q305" s="106"/>
      <c r="R305" s="106"/>
      <c r="S305" s="106"/>
      <c r="T305" s="106">
        <f t="shared" si="480"/>
        <v>0</v>
      </c>
      <c r="U305" s="107">
        <f t="shared" si="481"/>
        <v>0</v>
      </c>
      <c r="V305" s="106">
        <f t="shared" si="482"/>
        <v>0</v>
      </c>
      <c r="W305" s="108"/>
      <c r="X305" s="109">
        <v>0</v>
      </c>
      <c r="Y305" s="24">
        <f t="shared" si="483"/>
        <v>0</v>
      </c>
      <c r="Z305" s="85">
        <f>S305</f>
        <v>0</v>
      </c>
      <c r="AA305" s="29">
        <f t="shared" si="569"/>
        <v>0</v>
      </c>
      <c r="AB305" s="29">
        <f t="shared" si="570"/>
        <v>0</v>
      </c>
      <c r="AC305" s="72"/>
      <c r="AD305" s="72"/>
      <c r="AE305" s="72"/>
      <c r="AF305" s="72"/>
      <c r="AG305" s="72"/>
      <c r="AH305" s="85">
        <f>Z305</f>
        <v>0</v>
      </c>
      <c r="AI305" s="85"/>
      <c r="AJ305" s="85">
        <f t="shared" si="571"/>
        <v>0</v>
      </c>
      <c r="AK305" s="86"/>
      <c r="AL305" s="133"/>
      <c r="AM305" s="27">
        <f t="shared" si="504"/>
        <v>0</v>
      </c>
      <c r="AN305" s="61">
        <f t="shared" si="505"/>
        <v>0</v>
      </c>
      <c r="AO305" s="62">
        <f t="shared" si="506"/>
        <v>0</v>
      </c>
      <c r="AQ305" s="85"/>
      <c r="AR305" s="85"/>
      <c r="AS305" s="85"/>
      <c r="AT305" s="86"/>
      <c r="AU305" s="71">
        <f>CEILING(BD305,100)</f>
        <v>0</v>
      </c>
      <c r="AV305" s="71">
        <f>CEILING(AT305,100)</f>
        <v>0</v>
      </c>
      <c r="AW305" s="71">
        <f t="shared" si="572"/>
        <v>0</v>
      </c>
      <c r="AX305" s="76">
        <f t="shared" si="573"/>
        <v>0</v>
      </c>
      <c r="AY305" s="76">
        <f t="shared" si="574"/>
        <v>0</v>
      </c>
      <c r="BE305" s="71">
        <v>0</v>
      </c>
      <c r="BF305" s="71"/>
      <c r="BG305" s="78">
        <f t="shared" si="575"/>
        <v>0</v>
      </c>
      <c r="BH305" s="71"/>
      <c r="BI305" s="33">
        <f t="shared" si="576"/>
        <v>0</v>
      </c>
      <c r="BJ305" s="33">
        <f t="shared" si="577"/>
        <v>0</v>
      </c>
      <c r="BK305" s="71"/>
      <c r="BL305" s="79">
        <f t="shared" si="578"/>
        <v>0</v>
      </c>
      <c r="BM305" s="79">
        <f t="shared" si="579"/>
        <v>0</v>
      </c>
      <c r="BN305" s="32"/>
      <c r="BO305" s="32"/>
      <c r="BP305" s="71"/>
      <c r="BQ305" s="32">
        <f t="shared" si="507"/>
        <v>0</v>
      </c>
      <c r="BR305" s="32">
        <f t="shared" si="508"/>
        <v>0</v>
      </c>
      <c r="BS305" s="32"/>
      <c r="BT305" s="32"/>
      <c r="BU305" s="33"/>
      <c r="BV305" s="34">
        <f t="shared" si="509"/>
        <v>0</v>
      </c>
      <c r="BY305" s="82"/>
      <c r="BZ305" s="82"/>
      <c r="CC305" s="37"/>
      <c r="CD305" s="71"/>
    </row>
    <row r="306" spans="1:82" s="77" customFormat="1" ht="18" customHeight="1" x14ac:dyDescent="0.25">
      <c r="A306" s="99" t="s">
        <v>58</v>
      </c>
      <c r="B306" s="100"/>
      <c r="C306" s="101"/>
      <c r="D306" s="93"/>
      <c r="E306" s="98"/>
      <c r="F306" s="121" t="s">
        <v>752</v>
      </c>
      <c r="G306" s="106">
        <v>50</v>
      </c>
      <c r="H306" s="106">
        <v>50</v>
      </c>
      <c r="I306" s="106">
        <v>50</v>
      </c>
      <c r="J306" s="70" t="s">
        <v>753</v>
      </c>
      <c r="K306" s="106">
        <v>5.63</v>
      </c>
      <c r="L306" s="106">
        <v>5.93</v>
      </c>
      <c r="M306" s="106">
        <f>L306/2</f>
        <v>2.9649999999999999</v>
      </c>
      <c r="N306" s="106">
        <f>M306*2</f>
        <v>5.93</v>
      </c>
      <c r="O306" s="106">
        <f>N306</f>
        <v>5.93</v>
      </c>
      <c r="P306" s="106">
        <f t="shared" si="568"/>
        <v>-44.07</v>
      </c>
      <c r="Q306" s="106">
        <v>5.93</v>
      </c>
      <c r="R306" s="106"/>
      <c r="S306" s="106">
        <f>Q306</f>
        <v>5.93</v>
      </c>
      <c r="T306" s="106">
        <f t="shared" si="480"/>
        <v>-44.07</v>
      </c>
      <c r="U306" s="107">
        <f t="shared" si="481"/>
        <v>0.29999999999999982</v>
      </c>
      <c r="V306" s="106">
        <f t="shared" si="482"/>
        <v>0</v>
      </c>
      <c r="W306" s="108"/>
      <c r="X306" s="109">
        <f>S306</f>
        <v>5.93</v>
      </c>
      <c r="Y306" s="24">
        <f t="shared" si="483"/>
        <v>0</v>
      </c>
      <c r="Z306" s="85">
        <v>6</v>
      </c>
      <c r="AA306" s="29">
        <f t="shared" si="569"/>
        <v>-44</v>
      </c>
      <c r="AB306" s="29">
        <f t="shared" si="570"/>
        <v>7.0000000000000284E-2</v>
      </c>
      <c r="AC306" s="72"/>
      <c r="AD306" s="72"/>
      <c r="AE306" s="72"/>
      <c r="AF306" s="72"/>
      <c r="AG306" s="72"/>
      <c r="AH306" s="85">
        <f>Z306</f>
        <v>6</v>
      </c>
      <c r="AI306" s="85">
        <v>6.13</v>
      </c>
      <c r="AJ306" s="85">
        <f t="shared" si="571"/>
        <v>0</v>
      </c>
      <c r="AK306" s="86">
        <v>6.13</v>
      </c>
      <c r="AL306" s="123">
        <v>6.13</v>
      </c>
      <c r="AM306" s="27">
        <f t="shared" si="504"/>
        <v>0</v>
      </c>
      <c r="AN306" s="61">
        <f t="shared" si="505"/>
        <v>0.12999999999999989</v>
      </c>
      <c r="AO306" s="62">
        <f t="shared" si="506"/>
        <v>0.12999999999999989</v>
      </c>
      <c r="AQ306" s="85" t="s">
        <v>286</v>
      </c>
      <c r="AR306" s="85" t="s">
        <v>286</v>
      </c>
      <c r="AS306" s="85" t="s">
        <v>286</v>
      </c>
      <c r="AT306" s="86">
        <v>6.13</v>
      </c>
      <c r="AU306" s="71">
        <v>6.13</v>
      </c>
      <c r="AV306" s="71">
        <f>CEILING(AT306,100)</f>
        <v>100</v>
      </c>
      <c r="AW306" s="71">
        <f t="shared" si="572"/>
        <v>94</v>
      </c>
      <c r="AX306" s="76">
        <f t="shared" si="573"/>
        <v>0.12999999999999989</v>
      </c>
      <c r="AY306" s="76">
        <f t="shared" si="574"/>
        <v>0</v>
      </c>
      <c r="BE306" s="71">
        <v>100</v>
      </c>
      <c r="BF306" s="71">
        <v>4.13</v>
      </c>
      <c r="BG306" s="78">
        <f t="shared" si="575"/>
        <v>0</v>
      </c>
      <c r="BH306" s="71">
        <f>BF306</f>
        <v>4.13</v>
      </c>
      <c r="BI306" s="33">
        <f t="shared" si="576"/>
        <v>-95.87</v>
      </c>
      <c r="BJ306" s="33">
        <f t="shared" si="577"/>
        <v>-2</v>
      </c>
      <c r="BK306" s="71">
        <v>4.13</v>
      </c>
      <c r="BL306" s="79">
        <f t="shared" si="578"/>
        <v>0</v>
      </c>
      <c r="BM306" s="79">
        <f t="shared" si="579"/>
        <v>-95.87</v>
      </c>
      <c r="BN306" s="32"/>
      <c r="BO306" s="32"/>
      <c r="BP306" s="71">
        <v>4.13</v>
      </c>
      <c r="BQ306" s="32">
        <f t="shared" si="507"/>
        <v>0</v>
      </c>
      <c r="BR306" s="32">
        <f t="shared" si="508"/>
        <v>-95.87</v>
      </c>
      <c r="BS306" s="32"/>
      <c r="BT306" s="32"/>
      <c r="BU306" s="33"/>
      <c r="BV306" s="34">
        <f t="shared" si="509"/>
        <v>-95.87</v>
      </c>
      <c r="BY306" s="82"/>
      <c r="BZ306" s="82"/>
      <c r="CC306" s="37"/>
      <c r="CD306" s="71">
        <v>6.13</v>
      </c>
    </row>
    <row r="307" spans="1:82" s="77" customFormat="1" ht="18" hidden="1" customHeight="1" x14ac:dyDescent="0.25">
      <c r="A307" s="99" t="s">
        <v>58</v>
      </c>
      <c r="B307" s="100"/>
      <c r="C307" s="101"/>
      <c r="D307" s="93"/>
      <c r="E307" s="98"/>
      <c r="F307" s="121" t="s">
        <v>754</v>
      </c>
      <c r="G307" s="106">
        <v>0</v>
      </c>
      <c r="H307" s="106">
        <v>200</v>
      </c>
      <c r="I307" s="106">
        <v>0</v>
      </c>
      <c r="J307" s="70"/>
      <c r="K307" s="106">
        <v>200</v>
      </c>
      <c r="L307" s="106"/>
      <c r="M307" s="106"/>
      <c r="N307" s="106"/>
      <c r="O307" s="106"/>
      <c r="P307" s="106">
        <f t="shared" si="568"/>
        <v>0</v>
      </c>
      <c r="Q307" s="106"/>
      <c r="R307" s="106"/>
      <c r="S307" s="106"/>
      <c r="T307" s="106">
        <f t="shared" si="480"/>
        <v>0</v>
      </c>
      <c r="U307" s="107">
        <f t="shared" si="481"/>
        <v>-200</v>
      </c>
      <c r="V307" s="106">
        <f t="shared" si="482"/>
        <v>0</v>
      </c>
      <c r="W307" s="108"/>
      <c r="X307" s="109"/>
      <c r="Y307" s="24">
        <f t="shared" si="483"/>
        <v>0</v>
      </c>
      <c r="Z307" s="85">
        <f>S307</f>
        <v>0</v>
      </c>
      <c r="AA307" s="29">
        <f t="shared" si="569"/>
        <v>0</v>
      </c>
      <c r="AB307" s="29">
        <f t="shared" si="570"/>
        <v>0</v>
      </c>
      <c r="AC307" s="72"/>
      <c r="AD307" s="72"/>
      <c r="AE307" s="72"/>
      <c r="AF307" s="72"/>
      <c r="AG307" s="72"/>
      <c r="AH307" s="85">
        <f>Z307</f>
        <v>0</v>
      </c>
      <c r="AI307" s="85"/>
      <c r="AJ307" s="85">
        <f t="shared" si="571"/>
        <v>0</v>
      </c>
      <c r="AK307" s="86"/>
      <c r="AL307" s="85"/>
      <c r="AM307" s="27">
        <f t="shared" si="504"/>
        <v>0</v>
      </c>
      <c r="AN307" s="61">
        <f t="shared" si="505"/>
        <v>0</v>
      </c>
      <c r="AO307" s="62">
        <f t="shared" si="506"/>
        <v>0</v>
      </c>
      <c r="AQ307" s="85"/>
      <c r="AR307" s="85"/>
      <c r="AS307" s="85"/>
      <c r="AT307" s="86"/>
      <c r="AU307" s="85"/>
      <c r="AV307" s="85"/>
      <c r="AW307" s="85">
        <f t="shared" si="572"/>
        <v>0</v>
      </c>
      <c r="AX307" s="76">
        <f t="shared" si="573"/>
        <v>0</v>
      </c>
      <c r="AY307" s="76">
        <f t="shared" si="574"/>
        <v>0</v>
      </c>
      <c r="BE307" s="85"/>
      <c r="BF307" s="85"/>
      <c r="BG307" s="78">
        <f t="shared" si="575"/>
        <v>0</v>
      </c>
      <c r="BH307" s="85"/>
      <c r="BI307" s="33">
        <f t="shared" si="576"/>
        <v>0</v>
      </c>
      <c r="BJ307" s="33">
        <f t="shared" si="577"/>
        <v>0</v>
      </c>
      <c r="BK307" s="85"/>
      <c r="BL307" s="79">
        <f t="shared" si="578"/>
        <v>0</v>
      </c>
      <c r="BM307" s="79">
        <f t="shared" si="579"/>
        <v>0</v>
      </c>
      <c r="BN307" s="32"/>
      <c r="BO307" s="32"/>
      <c r="BP307" s="85"/>
      <c r="BQ307" s="32">
        <f t="shared" si="507"/>
        <v>0</v>
      </c>
      <c r="BR307" s="32">
        <f t="shared" si="508"/>
        <v>0</v>
      </c>
      <c r="BS307" s="32"/>
      <c r="BT307" s="32"/>
      <c r="BU307" s="33"/>
      <c r="BV307" s="34">
        <f t="shared" si="509"/>
        <v>0</v>
      </c>
      <c r="BY307" s="82"/>
      <c r="BZ307" s="82"/>
      <c r="CC307" s="37"/>
      <c r="CD307" s="85"/>
    </row>
    <row r="308" spans="1:82" s="63" customFormat="1" ht="18" customHeight="1" x14ac:dyDescent="0.25">
      <c r="A308" s="96" t="s">
        <v>58</v>
      </c>
      <c r="B308" s="97"/>
      <c r="C308" s="98"/>
      <c r="D308" s="103"/>
      <c r="E308" s="98" t="s">
        <v>755</v>
      </c>
      <c r="F308" s="105"/>
      <c r="G308" s="55">
        <v>31100</v>
      </c>
      <c r="H308" s="55">
        <v>33910</v>
      </c>
      <c r="I308" s="55">
        <f>SUM(I309:I320)</f>
        <v>32100</v>
      </c>
      <c r="J308" s="148" t="s">
        <v>756</v>
      </c>
      <c r="K308" s="55">
        <f t="shared" ref="K308:Q308" si="580">SUM(K309:K320)</f>
        <v>43332.469999999994</v>
      </c>
      <c r="L308" s="55">
        <f t="shared" si="580"/>
        <v>52013.11</v>
      </c>
      <c r="M308" s="55">
        <f t="shared" si="580"/>
        <v>43449.26</v>
      </c>
      <c r="N308" s="55">
        <f t="shared" si="580"/>
        <v>62588.18</v>
      </c>
      <c r="O308" s="55">
        <f t="shared" si="580"/>
        <v>63238.18</v>
      </c>
      <c r="P308" s="55">
        <f t="shared" si="580"/>
        <v>30488.18</v>
      </c>
      <c r="Q308" s="55">
        <f t="shared" si="580"/>
        <v>61399.66</v>
      </c>
      <c r="R308" s="55"/>
      <c r="S308" s="55">
        <f>SUM(S309:S320)</f>
        <v>69124.529999999984</v>
      </c>
      <c r="T308" s="55">
        <f t="shared" si="480"/>
        <v>37024.529999999984</v>
      </c>
      <c r="U308" s="56">
        <f t="shared" si="481"/>
        <v>25792.05999999999</v>
      </c>
      <c r="V308" s="55">
        <f t="shared" si="482"/>
        <v>5886.349999999984</v>
      </c>
      <c r="W308" s="57"/>
      <c r="X308" s="58">
        <f>SUM(X309:X320)</f>
        <v>71287.263939393946</v>
      </c>
      <c r="Y308" s="59">
        <f t="shared" si="483"/>
        <v>2162.7339393939619</v>
      </c>
      <c r="Z308" s="33">
        <f t="shared" ref="Z308:AL308" si="581">SUM(Z309:Z320)</f>
        <v>34325</v>
      </c>
      <c r="AA308" s="33">
        <f t="shared" si="581"/>
        <v>2225</v>
      </c>
      <c r="AB308" s="33">
        <f t="shared" si="581"/>
        <v>-34799.530000000006</v>
      </c>
      <c r="AC308" s="33">
        <f t="shared" si="581"/>
        <v>0</v>
      </c>
      <c r="AD308" s="33">
        <f t="shared" si="581"/>
        <v>0</v>
      </c>
      <c r="AE308" s="33">
        <f t="shared" si="581"/>
        <v>0</v>
      </c>
      <c r="AF308" s="33">
        <f t="shared" si="581"/>
        <v>0</v>
      </c>
      <c r="AG308" s="33">
        <f t="shared" si="581"/>
        <v>0</v>
      </c>
      <c r="AH308" s="33">
        <f t="shared" si="581"/>
        <v>34325</v>
      </c>
      <c r="AI308" s="33">
        <f t="shared" si="581"/>
        <v>72717.295714285719</v>
      </c>
      <c r="AJ308" s="33">
        <f t="shared" si="581"/>
        <v>0</v>
      </c>
      <c r="AK308" s="60">
        <f t="shared" si="581"/>
        <v>72919.906666666662</v>
      </c>
      <c r="AL308" s="33">
        <f t="shared" si="581"/>
        <v>73282.250909090915</v>
      </c>
      <c r="AM308" s="27">
        <f t="shared" si="504"/>
        <v>564.95519480519579</v>
      </c>
      <c r="AN308" s="61">
        <f t="shared" si="505"/>
        <v>38957.250909090915</v>
      </c>
      <c r="AO308" s="62">
        <f t="shared" si="506"/>
        <v>38392.295714285719</v>
      </c>
      <c r="AQ308" s="33"/>
      <c r="AR308" s="33"/>
      <c r="AS308" s="33"/>
      <c r="AT308" s="60">
        <f t="shared" ref="AT308:BP308" si="582">SUM(AT309:AT320)</f>
        <v>39247.000909090908</v>
      </c>
      <c r="AU308" s="33">
        <f t="shared" si="582"/>
        <v>229733.11</v>
      </c>
      <c r="AV308" s="33">
        <f t="shared" si="582"/>
        <v>39500</v>
      </c>
      <c r="AW308" s="33">
        <f t="shared" si="582"/>
        <v>5175</v>
      </c>
      <c r="AX308" s="33">
        <f t="shared" si="582"/>
        <v>4922.0009090909089</v>
      </c>
      <c r="AY308" s="33">
        <f t="shared" si="582"/>
        <v>-34035.25</v>
      </c>
      <c r="AZ308" s="33">
        <f t="shared" si="582"/>
        <v>0</v>
      </c>
      <c r="BA308" s="33">
        <f t="shared" si="582"/>
        <v>0</v>
      </c>
      <c r="BB308" s="33">
        <f t="shared" si="582"/>
        <v>0</v>
      </c>
      <c r="BC308" s="33">
        <f t="shared" si="582"/>
        <v>0</v>
      </c>
      <c r="BD308" s="33">
        <f t="shared" si="582"/>
        <v>0</v>
      </c>
      <c r="BE308" s="33">
        <f t="shared" si="582"/>
        <v>39500</v>
      </c>
      <c r="BF308" s="33">
        <f t="shared" si="582"/>
        <v>43545.861428571428</v>
      </c>
      <c r="BG308" s="33">
        <f t="shared" si="582"/>
        <v>0</v>
      </c>
      <c r="BH308" s="33">
        <f t="shared" si="582"/>
        <v>45000.771428571425</v>
      </c>
      <c r="BI308" s="33">
        <f t="shared" si="582"/>
        <v>4045.8614285714284</v>
      </c>
      <c r="BJ308" s="33">
        <f t="shared" si="582"/>
        <v>-186187.24857142859</v>
      </c>
      <c r="BK308" s="33">
        <f t="shared" si="582"/>
        <v>46233.722393939395</v>
      </c>
      <c r="BL308" s="33">
        <f t="shared" si="582"/>
        <v>1232.9509653679631</v>
      </c>
      <c r="BM308" s="33">
        <f t="shared" si="582"/>
        <v>6733.7223939393916</v>
      </c>
      <c r="BN308" s="33">
        <f t="shared" si="582"/>
        <v>0</v>
      </c>
      <c r="BO308" s="33">
        <f t="shared" si="582"/>
        <v>0</v>
      </c>
      <c r="BP308" s="33">
        <f t="shared" si="582"/>
        <v>46601.89</v>
      </c>
      <c r="BQ308" s="32">
        <f t="shared" si="507"/>
        <v>368.16760606060416</v>
      </c>
      <c r="BR308" s="32">
        <f t="shared" si="508"/>
        <v>7101.8899999999994</v>
      </c>
      <c r="BS308" s="32"/>
      <c r="BT308" s="32"/>
      <c r="BU308" s="33"/>
      <c r="BV308" s="34">
        <f t="shared" si="509"/>
        <v>5500.7714285714246</v>
      </c>
      <c r="BY308" s="64"/>
      <c r="BZ308" s="64"/>
      <c r="CC308" s="37"/>
      <c r="CD308" s="33">
        <f>SUM(CD309:CD320)</f>
        <v>229733.11</v>
      </c>
    </row>
    <row r="309" spans="1:82" s="77" customFormat="1" ht="18" customHeight="1" x14ac:dyDescent="0.25">
      <c r="A309" s="99" t="s">
        <v>58</v>
      </c>
      <c r="B309" s="100"/>
      <c r="C309" s="101"/>
      <c r="D309" s="93"/>
      <c r="E309" s="98"/>
      <c r="F309" s="121" t="s">
        <v>757</v>
      </c>
      <c r="G309" s="106">
        <v>200</v>
      </c>
      <c r="H309" s="106">
        <v>600</v>
      </c>
      <c r="I309" s="106">
        <v>200</v>
      </c>
      <c r="J309" s="70" t="s">
        <v>758</v>
      </c>
      <c r="K309" s="106">
        <v>597.14</v>
      </c>
      <c r="L309" s="106">
        <v>1743.17</v>
      </c>
      <c r="M309" s="106">
        <v>100</v>
      </c>
      <c r="N309" s="106">
        <v>200</v>
      </c>
      <c r="O309" s="106">
        <v>200</v>
      </c>
      <c r="P309" s="106">
        <f t="shared" ref="P309:P320" si="583">N309-I309</f>
        <v>0</v>
      </c>
      <c r="Q309" s="106">
        <v>1743.17</v>
      </c>
      <c r="R309" s="106"/>
      <c r="S309" s="106">
        <v>200</v>
      </c>
      <c r="T309" s="106">
        <f t="shared" si="480"/>
        <v>0</v>
      </c>
      <c r="U309" s="107">
        <f t="shared" si="481"/>
        <v>-397.14</v>
      </c>
      <c r="V309" s="106">
        <f t="shared" si="482"/>
        <v>0</v>
      </c>
      <c r="W309" s="108"/>
      <c r="X309" s="109">
        <f>1743.17-1549.57</f>
        <v>193.60000000000014</v>
      </c>
      <c r="Y309" s="24">
        <f t="shared" si="483"/>
        <v>-6.3999999999998636</v>
      </c>
      <c r="Z309" s="85">
        <v>194</v>
      </c>
      <c r="AA309" s="29">
        <f t="shared" ref="AA309:AA320" si="584">Z309-I309</f>
        <v>-6</v>
      </c>
      <c r="AB309" s="29">
        <f t="shared" ref="AB309:AB320" si="585">Z309-S309</f>
        <v>-6</v>
      </c>
      <c r="AC309" s="72"/>
      <c r="AD309" s="72"/>
      <c r="AE309" s="72"/>
      <c r="AF309" s="72"/>
      <c r="AG309" s="72"/>
      <c r="AH309" s="85">
        <f t="shared" ref="AH309:AH320" si="586">Z309</f>
        <v>194</v>
      </c>
      <c r="AI309" s="85">
        <f>1549.6-1356</f>
        <v>193.59999999999991</v>
      </c>
      <c r="AJ309" s="85">
        <f t="shared" ref="AJ309:AJ320" si="587">AH309-Z309</f>
        <v>0</v>
      </c>
      <c r="AK309" s="86">
        <v>193.59999999999991</v>
      </c>
      <c r="AL309" s="123">
        <f>1549.6-1356</f>
        <v>193.59999999999991</v>
      </c>
      <c r="AM309" s="27">
        <f t="shared" si="504"/>
        <v>0</v>
      </c>
      <c r="AN309" s="61">
        <f t="shared" si="505"/>
        <v>-0.40000000000009095</v>
      </c>
      <c r="AO309" s="62">
        <f t="shared" si="506"/>
        <v>-0.40000000000009095</v>
      </c>
      <c r="AQ309" s="85" t="s">
        <v>759</v>
      </c>
      <c r="AR309" s="85" t="s">
        <v>759</v>
      </c>
      <c r="AS309" s="85" t="s">
        <v>759</v>
      </c>
      <c r="AT309" s="86">
        <v>194.1</v>
      </c>
      <c r="AU309" s="71">
        <v>193.57</v>
      </c>
      <c r="AV309" s="71">
        <f t="shared" ref="AV309:AV320" si="588">CEILING(AT309,100)</f>
        <v>200</v>
      </c>
      <c r="AW309" s="71">
        <f t="shared" ref="AW309:AW320" si="589">AV309-Z309</f>
        <v>6</v>
      </c>
      <c r="AX309" s="76">
        <f t="shared" ref="AX309:AX320" si="590">AT309-Z309</f>
        <v>9.9999999999994316E-2</v>
      </c>
      <c r="AY309" s="76">
        <f t="shared" ref="AY309:AY320" si="591">AT309-AL309</f>
        <v>0.50000000000008527</v>
      </c>
      <c r="BE309" s="71">
        <v>200</v>
      </c>
      <c r="BF309" s="71">
        <f>1356.03-1161.9</f>
        <v>194.12999999999988</v>
      </c>
      <c r="BG309" s="78">
        <f t="shared" ref="BG309:BG320" si="592">BE309-AV309</f>
        <v>0</v>
      </c>
      <c r="BH309" s="71">
        <f t="shared" ref="BH309:BH317" si="593">BF309</f>
        <v>194.12999999999988</v>
      </c>
      <c r="BI309" s="33">
        <f t="shared" ref="BI309:BI320" si="594">BF309-AV309</f>
        <v>-5.8700000000001182</v>
      </c>
      <c r="BJ309" s="33">
        <f t="shared" ref="BJ309:BJ320" si="595">BF309-AU309</f>
        <v>0.55999999999988859</v>
      </c>
      <c r="BK309" s="71">
        <v>194.13</v>
      </c>
      <c r="BL309" s="79">
        <f t="shared" ref="BL309:BL320" si="596">BK309-BH309</f>
        <v>0</v>
      </c>
      <c r="BM309" s="79">
        <f t="shared" ref="BM309:BM320" si="597">BK309-AV309</f>
        <v>-5.8700000000000045</v>
      </c>
      <c r="BN309" s="32"/>
      <c r="BO309" s="87" t="s">
        <v>760</v>
      </c>
      <c r="BP309" s="71">
        <v>194.1</v>
      </c>
      <c r="BQ309" s="32">
        <f t="shared" si="507"/>
        <v>-3.0000000000001137E-2</v>
      </c>
      <c r="BR309" s="32">
        <f t="shared" si="508"/>
        <v>-5.9000000000000057</v>
      </c>
      <c r="BS309" s="87" t="s">
        <v>760</v>
      </c>
      <c r="BT309" s="32"/>
      <c r="BU309" s="33"/>
      <c r="BV309" s="34">
        <f t="shared" si="509"/>
        <v>-5.8700000000001182</v>
      </c>
      <c r="BY309" s="82"/>
      <c r="BZ309" s="82"/>
      <c r="CC309" s="37"/>
      <c r="CD309" s="71">
        <v>193.57</v>
      </c>
    </row>
    <row r="310" spans="1:82" s="77" customFormat="1" ht="18" customHeight="1" x14ac:dyDescent="0.25">
      <c r="A310" s="99" t="s">
        <v>58</v>
      </c>
      <c r="B310" s="100"/>
      <c r="C310" s="101"/>
      <c r="D310" s="93"/>
      <c r="E310" s="98"/>
      <c r="F310" s="121" t="s">
        <v>761</v>
      </c>
      <c r="G310" s="106">
        <v>1000</v>
      </c>
      <c r="H310" s="106">
        <v>2200</v>
      </c>
      <c r="I310" s="106">
        <v>2400</v>
      </c>
      <c r="J310" s="70" t="s">
        <v>762</v>
      </c>
      <c r="K310" s="106">
        <v>3203.17</v>
      </c>
      <c r="L310" s="106">
        <v>1065.5</v>
      </c>
      <c r="M310" s="106">
        <f>L310</f>
        <v>1065.5</v>
      </c>
      <c r="N310" s="106">
        <f>2970+150</f>
        <v>3120</v>
      </c>
      <c r="O310" s="106">
        <f>2970+150</f>
        <v>3120</v>
      </c>
      <c r="P310" s="106">
        <f t="shared" si="583"/>
        <v>720</v>
      </c>
      <c r="Q310" s="106">
        <v>1067.5</v>
      </c>
      <c r="R310" s="106"/>
      <c r="S310" s="106">
        <f>Q310+2970</f>
        <v>4037.5</v>
      </c>
      <c r="T310" s="106">
        <f t="shared" si="480"/>
        <v>1637.5</v>
      </c>
      <c r="U310" s="107">
        <f t="shared" si="481"/>
        <v>834.32999999999993</v>
      </c>
      <c r="V310" s="106">
        <f t="shared" si="482"/>
        <v>917.5</v>
      </c>
      <c r="W310" s="108"/>
      <c r="X310" s="109">
        <f>1069.92+(990/4*8)</f>
        <v>3049.92</v>
      </c>
      <c r="Y310" s="24">
        <f t="shared" si="483"/>
        <v>-987.57999999999993</v>
      </c>
      <c r="Z310" s="85">
        <v>3050</v>
      </c>
      <c r="AA310" s="29">
        <f t="shared" si="584"/>
        <v>650</v>
      </c>
      <c r="AB310" s="29">
        <f t="shared" si="585"/>
        <v>-987.5</v>
      </c>
      <c r="AC310" s="72"/>
      <c r="AD310" s="72"/>
      <c r="AE310" s="72"/>
      <c r="AF310" s="72"/>
      <c r="AG310" s="72"/>
      <c r="AH310" s="85">
        <f t="shared" si="586"/>
        <v>3050</v>
      </c>
      <c r="AI310" s="85">
        <f>1093.69+22.5+2+(990/4*8)</f>
        <v>3098.19</v>
      </c>
      <c r="AJ310" s="85">
        <f t="shared" si="587"/>
        <v>0</v>
      </c>
      <c r="AK310" s="86">
        <v>3100</v>
      </c>
      <c r="AL310" s="123">
        <f>CEILING((1097.12+22.5+2+(990/4*8)),100)</f>
        <v>3200</v>
      </c>
      <c r="AM310" s="27">
        <f t="shared" si="504"/>
        <v>101.80999999999995</v>
      </c>
      <c r="AN310" s="61">
        <f t="shared" si="505"/>
        <v>150</v>
      </c>
      <c r="AO310" s="62">
        <f t="shared" si="506"/>
        <v>48.190000000000055</v>
      </c>
      <c r="AQ310" s="85"/>
      <c r="AR310" s="85"/>
      <c r="AS310" s="85"/>
      <c r="AT310" s="86">
        <f>AL310</f>
        <v>3200</v>
      </c>
      <c r="AU310" s="71">
        <v>1118.1199999999999</v>
      </c>
      <c r="AV310" s="71">
        <f t="shared" si="588"/>
        <v>3200</v>
      </c>
      <c r="AW310" s="71">
        <f t="shared" si="589"/>
        <v>150</v>
      </c>
      <c r="AX310" s="76">
        <f t="shared" si="590"/>
        <v>150</v>
      </c>
      <c r="AY310" s="76">
        <f t="shared" si="591"/>
        <v>0</v>
      </c>
      <c r="AZ310" s="77" t="s">
        <v>250</v>
      </c>
      <c r="BE310" s="71">
        <v>3200</v>
      </c>
      <c r="BF310" s="71">
        <f>AV310</f>
        <v>3200</v>
      </c>
      <c r="BG310" s="78">
        <f t="shared" si="592"/>
        <v>0</v>
      </c>
      <c r="BH310" s="71">
        <f t="shared" si="593"/>
        <v>3200</v>
      </c>
      <c r="BI310" s="33">
        <f t="shared" si="594"/>
        <v>0</v>
      </c>
      <c r="BJ310" s="33">
        <f t="shared" si="595"/>
        <v>2081.88</v>
      </c>
      <c r="BK310" s="71">
        <v>3105.1129999999998</v>
      </c>
      <c r="BL310" s="79">
        <f t="shared" si="596"/>
        <v>-94.887000000000171</v>
      </c>
      <c r="BM310" s="79">
        <f t="shared" si="597"/>
        <v>-94.887000000000171</v>
      </c>
      <c r="BN310" s="32"/>
      <c r="BO310" s="32"/>
      <c r="BP310" s="71">
        <f>1134.52+1980</f>
        <v>3114.52</v>
      </c>
      <c r="BQ310" s="32">
        <f t="shared" si="507"/>
        <v>9.4070000000001528</v>
      </c>
      <c r="BR310" s="32">
        <f t="shared" si="508"/>
        <v>-85.480000000000018</v>
      </c>
      <c r="BS310" s="32"/>
      <c r="BT310" s="32"/>
      <c r="BU310" s="33"/>
      <c r="BV310" s="34">
        <f t="shared" si="509"/>
        <v>0</v>
      </c>
      <c r="BY310" s="82"/>
      <c r="BZ310" s="82"/>
      <c r="CC310" s="37"/>
      <c r="CD310" s="71">
        <v>1118.1199999999999</v>
      </c>
    </row>
    <row r="311" spans="1:82" s="77" customFormat="1" ht="18" customHeight="1" x14ac:dyDescent="0.25">
      <c r="A311" s="99" t="s">
        <v>58</v>
      </c>
      <c r="B311" s="100"/>
      <c r="C311" s="101"/>
      <c r="D311" s="93"/>
      <c r="E311" s="98"/>
      <c r="F311" s="121" t="s">
        <v>763</v>
      </c>
      <c r="G311" s="106">
        <v>6500</v>
      </c>
      <c r="H311" s="106">
        <v>6000</v>
      </c>
      <c r="I311" s="106">
        <v>6600</v>
      </c>
      <c r="J311" s="70" t="s">
        <v>764</v>
      </c>
      <c r="K311" s="106">
        <v>5925.7</v>
      </c>
      <c r="L311" s="106">
        <v>6337.7</v>
      </c>
      <c r="M311" s="106">
        <f>L311</f>
        <v>6337.7</v>
      </c>
      <c r="N311" s="106">
        <f>M311</f>
        <v>6337.7</v>
      </c>
      <c r="O311" s="106">
        <f>N311</f>
        <v>6337.7</v>
      </c>
      <c r="P311" s="106">
        <f t="shared" si="583"/>
        <v>-262.30000000000018</v>
      </c>
      <c r="Q311" s="106">
        <v>6337.7</v>
      </c>
      <c r="R311" s="106"/>
      <c r="S311" s="106">
        <f>Q311</f>
        <v>6337.7</v>
      </c>
      <c r="T311" s="106">
        <f t="shared" si="480"/>
        <v>-262.30000000000018</v>
      </c>
      <c r="U311" s="107">
        <f t="shared" si="481"/>
        <v>412</v>
      </c>
      <c r="V311" s="106">
        <f t="shared" si="482"/>
        <v>0</v>
      </c>
      <c r="W311" s="108"/>
      <c r="X311" s="109">
        <f>12335.7-6037.98</f>
        <v>6297.7200000000012</v>
      </c>
      <c r="Y311" s="24">
        <f t="shared" si="483"/>
        <v>-39.979999999998654</v>
      </c>
      <c r="Z311" s="85">
        <v>6618</v>
      </c>
      <c r="AA311" s="29">
        <f t="shared" si="584"/>
        <v>18</v>
      </c>
      <c r="AB311" s="29">
        <f t="shared" si="585"/>
        <v>280.30000000000018</v>
      </c>
      <c r="AC311" s="72"/>
      <c r="AD311" s="72"/>
      <c r="AE311" s="72"/>
      <c r="AF311" s="72"/>
      <c r="AG311" s="72"/>
      <c r="AH311" s="85">
        <f t="shared" si="586"/>
        <v>6618</v>
      </c>
      <c r="AI311" s="85">
        <f>6381.68-40.42</f>
        <v>6341.26</v>
      </c>
      <c r="AJ311" s="85">
        <f t="shared" si="587"/>
        <v>0</v>
      </c>
      <c r="AK311" s="86">
        <v>6341.26</v>
      </c>
      <c r="AL311" s="123">
        <f>6381.68-40.42</f>
        <v>6341.26</v>
      </c>
      <c r="AM311" s="27">
        <f t="shared" si="504"/>
        <v>0</v>
      </c>
      <c r="AN311" s="61">
        <f t="shared" si="505"/>
        <v>-276.73999999999978</v>
      </c>
      <c r="AO311" s="62">
        <f t="shared" si="506"/>
        <v>-276.73999999999978</v>
      </c>
      <c r="AQ311" s="85"/>
      <c r="AR311" s="85"/>
      <c r="AS311" s="85"/>
      <c r="AT311" s="86">
        <f>2999+2999+120+199.9</f>
        <v>6317.9</v>
      </c>
      <c r="AU311" s="71">
        <v>6341.26</v>
      </c>
      <c r="AV311" s="71">
        <f t="shared" si="588"/>
        <v>6400</v>
      </c>
      <c r="AW311" s="71">
        <f t="shared" si="589"/>
        <v>-218</v>
      </c>
      <c r="AX311" s="76">
        <f t="shared" si="590"/>
        <v>-300.10000000000036</v>
      </c>
      <c r="AY311" s="76">
        <f t="shared" si="591"/>
        <v>-23.360000000000582</v>
      </c>
      <c r="AZ311" s="77" t="s">
        <v>765</v>
      </c>
      <c r="BE311" s="71">
        <v>6400</v>
      </c>
      <c r="BF311" s="71">
        <v>6400</v>
      </c>
      <c r="BG311" s="78">
        <f t="shared" si="592"/>
        <v>0</v>
      </c>
      <c r="BH311" s="71">
        <f t="shared" si="593"/>
        <v>6400</v>
      </c>
      <c r="BI311" s="33">
        <f t="shared" si="594"/>
        <v>0</v>
      </c>
      <c r="BJ311" s="33">
        <f t="shared" si="595"/>
        <v>58.739999999999782</v>
      </c>
      <c r="BK311" s="71">
        <v>6358.32</v>
      </c>
      <c r="BL311" s="79">
        <f t="shared" si="596"/>
        <v>-41.680000000000291</v>
      </c>
      <c r="BM311" s="79">
        <f t="shared" si="597"/>
        <v>-41.680000000000291</v>
      </c>
      <c r="BN311" s="32"/>
      <c r="BO311" s="32"/>
      <c r="BP311" s="71">
        <v>6358.32</v>
      </c>
      <c r="BQ311" s="32">
        <f t="shared" si="507"/>
        <v>0</v>
      </c>
      <c r="BR311" s="32">
        <f t="shared" si="508"/>
        <v>-41.680000000000291</v>
      </c>
      <c r="BS311" s="32"/>
      <c r="BT311" s="32"/>
      <c r="BU311" s="33"/>
      <c r="BV311" s="34">
        <f t="shared" si="509"/>
        <v>0</v>
      </c>
      <c r="BY311" s="82"/>
      <c r="BZ311" s="82"/>
      <c r="CC311" s="37"/>
      <c r="CD311" s="71">
        <v>6341.26</v>
      </c>
    </row>
    <row r="312" spans="1:82" s="77" customFormat="1" ht="18" customHeight="1" x14ac:dyDescent="0.25">
      <c r="A312" s="99" t="s">
        <v>58</v>
      </c>
      <c r="B312" s="100"/>
      <c r="C312" s="101"/>
      <c r="D312" s="93"/>
      <c r="E312" s="98"/>
      <c r="F312" s="121" t="s">
        <v>766</v>
      </c>
      <c r="G312" s="106">
        <v>15400</v>
      </c>
      <c r="H312" s="106">
        <v>15400</v>
      </c>
      <c r="I312" s="106">
        <v>15400</v>
      </c>
      <c r="J312" s="70" t="s">
        <v>767</v>
      </c>
      <c r="K312" s="106">
        <v>15379.29</v>
      </c>
      <c r="L312" s="106">
        <v>13841.36</v>
      </c>
      <c r="M312" s="106">
        <f>L312/2</f>
        <v>6920.68</v>
      </c>
      <c r="N312" s="106">
        <f>I312</f>
        <v>15400</v>
      </c>
      <c r="O312" s="106">
        <f>N312</f>
        <v>15400</v>
      </c>
      <c r="P312" s="106">
        <f t="shared" si="583"/>
        <v>0</v>
      </c>
      <c r="Q312" s="106">
        <v>13841.36</v>
      </c>
      <c r="R312" s="106"/>
      <c r="S312" s="106">
        <f>O312</f>
        <v>15400</v>
      </c>
      <c r="T312" s="106">
        <f t="shared" si="480"/>
        <v>0</v>
      </c>
      <c r="U312" s="107">
        <f t="shared" si="481"/>
        <v>20.709999999999127</v>
      </c>
      <c r="V312" s="106">
        <f t="shared" si="482"/>
        <v>0</v>
      </c>
      <c r="W312" s="108"/>
      <c r="X312" s="109">
        <f>S312</f>
        <v>15400</v>
      </c>
      <c r="Y312" s="24">
        <f t="shared" si="483"/>
        <v>0</v>
      </c>
      <c r="Z312" s="85">
        <v>16302</v>
      </c>
      <c r="AA312" s="29">
        <f t="shared" si="584"/>
        <v>902</v>
      </c>
      <c r="AB312" s="29">
        <f t="shared" si="585"/>
        <v>902</v>
      </c>
      <c r="AC312" s="72" t="s">
        <v>309</v>
      </c>
      <c r="AD312" s="72"/>
      <c r="AE312" s="72"/>
      <c r="AF312" s="72"/>
      <c r="AG312" s="72"/>
      <c r="AH312" s="85">
        <f t="shared" si="586"/>
        <v>16302</v>
      </c>
      <c r="AI312" s="85">
        <f>Z312</f>
        <v>16302</v>
      </c>
      <c r="AJ312" s="85">
        <f t="shared" si="587"/>
        <v>0</v>
      </c>
      <c r="AK312" s="86">
        <v>16302</v>
      </c>
      <c r="AL312" s="123">
        <v>16302.05</v>
      </c>
      <c r="AM312" s="27">
        <f t="shared" si="504"/>
        <v>4.9999999999272404E-2</v>
      </c>
      <c r="AN312" s="61">
        <f t="shared" si="505"/>
        <v>4.9999999999272404E-2</v>
      </c>
      <c r="AO312" s="62">
        <f t="shared" si="506"/>
        <v>0</v>
      </c>
      <c r="AQ312" s="85"/>
      <c r="AR312" s="85"/>
      <c r="AS312" s="85"/>
      <c r="AT312" s="86">
        <v>17932.27</v>
      </c>
      <c r="AU312" s="71">
        <v>16302.05</v>
      </c>
      <c r="AV312" s="71">
        <f t="shared" si="588"/>
        <v>18000</v>
      </c>
      <c r="AW312" s="71">
        <f t="shared" si="589"/>
        <v>1698</v>
      </c>
      <c r="AX312" s="76">
        <f t="shared" si="590"/>
        <v>1630.2700000000004</v>
      </c>
      <c r="AY312" s="76">
        <f t="shared" si="591"/>
        <v>1630.2200000000012</v>
      </c>
      <c r="AZ312" s="145" t="s">
        <v>768</v>
      </c>
      <c r="BE312" s="71">
        <v>18000</v>
      </c>
      <c r="BF312" s="71">
        <f>AV312</f>
        <v>18000</v>
      </c>
      <c r="BG312" s="78">
        <f t="shared" si="592"/>
        <v>0</v>
      </c>
      <c r="BH312" s="71">
        <f t="shared" si="593"/>
        <v>18000</v>
      </c>
      <c r="BI312" s="33">
        <f t="shared" si="594"/>
        <v>0</v>
      </c>
      <c r="BJ312" s="33">
        <f t="shared" si="595"/>
        <v>1697.9500000000007</v>
      </c>
      <c r="BK312" s="71">
        <v>17932.259999999998</v>
      </c>
      <c r="BL312" s="79">
        <f t="shared" si="596"/>
        <v>-67.740000000001601</v>
      </c>
      <c r="BM312" s="79">
        <f t="shared" si="597"/>
        <v>-67.740000000001601</v>
      </c>
      <c r="BN312" s="32"/>
      <c r="BO312" s="32"/>
      <c r="BP312" s="71">
        <v>17932.259999999998</v>
      </c>
      <c r="BQ312" s="32">
        <f t="shared" si="507"/>
        <v>0</v>
      </c>
      <c r="BR312" s="32">
        <f t="shared" si="508"/>
        <v>-67.740000000001601</v>
      </c>
      <c r="BS312" s="32"/>
      <c r="BT312" s="32"/>
      <c r="BU312" s="33"/>
      <c r="BV312" s="34">
        <f t="shared" si="509"/>
        <v>0</v>
      </c>
      <c r="BY312" s="82"/>
      <c r="BZ312" s="82"/>
      <c r="CC312" s="37"/>
      <c r="CD312" s="71">
        <v>16302.05</v>
      </c>
    </row>
    <row r="313" spans="1:82" s="77" customFormat="1" ht="18" customHeight="1" x14ac:dyDescent="0.25">
      <c r="A313" s="99" t="s">
        <v>58</v>
      </c>
      <c r="B313" s="100"/>
      <c r="C313" s="101"/>
      <c r="D313" s="93"/>
      <c r="E313" s="98"/>
      <c r="F313" s="121" t="s">
        <v>769</v>
      </c>
      <c r="G313" s="106">
        <v>0</v>
      </c>
      <c r="H313" s="106">
        <v>10</v>
      </c>
      <c r="I313" s="106">
        <v>0</v>
      </c>
      <c r="J313" s="70" t="s">
        <v>770</v>
      </c>
      <c r="K313" s="106">
        <v>11.94</v>
      </c>
      <c r="L313" s="106">
        <v>1.26</v>
      </c>
      <c r="M313" s="106">
        <f>L313</f>
        <v>1.26</v>
      </c>
      <c r="N313" s="106">
        <f>M313*2</f>
        <v>2.52</v>
      </c>
      <c r="O313" s="106">
        <f>N313</f>
        <v>2.52</v>
      </c>
      <c r="P313" s="106">
        <f t="shared" si="583"/>
        <v>2.52</v>
      </c>
      <c r="Q313" s="106">
        <v>1.26</v>
      </c>
      <c r="R313" s="106"/>
      <c r="S313" s="106">
        <f>Q313</f>
        <v>1.26</v>
      </c>
      <c r="T313" s="106">
        <f t="shared" si="480"/>
        <v>1.26</v>
      </c>
      <c r="U313" s="107">
        <f t="shared" si="481"/>
        <v>-10.68</v>
      </c>
      <c r="V313" s="106">
        <f t="shared" si="482"/>
        <v>-1.26</v>
      </c>
      <c r="W313" s="108"/>
      <c r="X313" s="109">
        <f>1.34</f>
        <v>1.34</v>
      </c>
      <c r="Y313" s="24">
        <f t="shared" si="483"/>
        <v>8.0000000000000071E-2</v>
      </c>
      <c r="Z313" s="85">
        <v>0</v>
      </c>
      <c r="AA313" s="29">
        <f t="shared" si="584"/>
        <v>0</v>
      </c>
      <c r="AB313" s="29">
        <f t="shared" si="585"/>
        <v>-1.26</v>
      </c>
      <c r="AC313" s="72"/>
      <c r="AD313" s="72"/>
      <c r="AE313" s="72"/>
      <c r="AF313" s="72"/>
      <c r="AG313" s="72"/>
      <c r="AH313" s="85">
        <f t="shared" si="586"/>
        <v>0</v>
      </c>
      <c r="AI313" s="85">
        <f>5.27/7*12</f>
        <v>9.0342857142857138</v>
      </c>
      <c r="AJ313" s="85">
        <f t="shared" si="587"/>
        <v>0</v>
      </c>
      <c r="AK313" s="86">
        <v>7.0266666666666655</v>
      </c>
      <c r="AL313" s="123">
        <v>7.27</v>
      </c>
      <c r="AM313" s="27">
        <f t="shared" si="504"/>
        <v>-1.7642857142857142</v>
      </c>
      <c r="AN313" s="61">
        <f t="shared" si="505"/>
        <v>7.27</v>
      </c>
      <c r="AO313" s="62">
        <f t="shared" si="506"/>
        <v>9.0342857142857138</v>
      </c>
      <c r="AQ313" s="90" t="s">
        <v>106</v>
      </c>
      <c r="AR313" s="90" t="s">
        <v>107</v>
      </c>
      <c r="AS313" s="90" t="s">
        <v>106</v>
      </c>
      <c r="AT313" s="86">
        <v>0</v>
      </c>
      <c r="AU313" s="71">
        <v>13.27</v>
      </c>
      <c r="AV313" s="71">
        <f t="shared" si="588"/>
        <v>0</v>
      </c>
      <c r="AW313" s="71">
        <f t="shared" si="589"/>
        <v>0</v>
      </c>
      <c r="AX313" s="76">
        <f t="shared" si="590"/>
        <v>0</v>
      </c>
      <c r="AY313" s="76">
        <f t="shared" si="591"/>
        <v>-7.27</v>
      </c>
      <c r="BE313" s="71">
        <v>0</v>
      </c>
      <c r="BF313" s="71">
        <v>0</v>
      </c>
      <c r="BG313" s="78">
        <f t="shared" si="592"/>
        <v>0</v>
      </c>
      <c r="BH313" s="71">
        <f t="shared" si="593"/>
        <v>0</v>
      </c>
      <c r="BI313" s="33">
        <f t="shared" si="594"/>
        <v>0</v>
      </c>
      <c r="BJ313" s="33">
        <f t="shared" si="595"/>
        <v>-13.27</v>
      </c>
      <c r="BK313" s="71">
        <v>0.24</v>
      </c>
      <c r="BL313" s="79">
        <f t="shared" si="596"/>
        <v>0.24</v>
      </c>
      <c r="BM313" s="79">
        <f t="shared" si="597"/>
        <v>0.24</v>
      </c>
      <c r="BN313" s="32"/>
      <c r="BO313" s="32"/>
      <c r="BP313" s="71">
        <v>0.24</v>
      </c>
      <c r="BQ313" s="32">
        <f t="shared" si="507"/>
        <v>0</v>
      </c>
      <c r="BR313" s="32">
        <f t="shared" si="508"/>
        <v>0.24</v>
      </c>
      <c r="BS313" s="32"/>
      <c r="BT313" s="32"/>
      <c r="BU313" s="33"/>
      <c r="BV313" s="34">
        <f t="shared" si="509"/>
        <v>0</v>
      </c>
      <c r="BY313" s="82"/>
      <c r="BZ313" s="82"/>
      <c r="CC313" s="37"/>
      <c r="CD313" s="71">
        <v>13.27</v>
      </c>
    </row>
    <row r="314" spans="1:82" s="77" customFormat="1" ht="18" customHeight="1" x14ac:dyDescent="0.25">
      <c r="A314" s="99" t="s">
        <v>58</v>
      </c>
      <c r="B314" s="100"/>
      <c r="C314" s="101"/>
      <c r="D314" s="93"/>
      <c r="E314" s="98"/>
      <c r="F314" s="121" t="s">
        <v>771</v>
      </c>
      <c r="G314" s="106">
        <v>0</v>
      </c>
      <c r="H314" s="106"/>
      <c r="I314" s="106">
        <v>0</v>
      </c>
      <c r="J314" s="70"/>
      <c r="K314" s="106">
        <v>0</v>
      </c>
      <c r="L314" s="106"/>
      <c r="M314" s="106">
        <f>L314</f>
        <v>0</v>
      </c>
      <c r="N314" s="106"/>
      <c r="O314" s="106"/>
      <c r="P314" s="106">
        <f t="shared" si="583"/>
        <v>0</v>
      </c>
      <c r="Q314" s="106"/>
      <c r="R314" s="106"/>
      <c r="S314" s="106"/>
      <c r="T314" s="106">
        <f t="shared" ref="T314:T337" si="598">S314-I314</f>
        <v>0</v>
      </c>
      <c r="U314" s="107">
        <f t="shared" ref="U314:U352" si="599">S314-K314</f>
        <v>0</v>
      </c>
      <c r="V314" s="106">
        <f t="shared" ref="V314:V357" si="600">S314-O314</f>
        <v>0</v>
      </c>
      <c r="W314" s="108"/>
      <c r="X314" s="109"/>
      <c r="Y314" s="24">
        <f t="shared" ref="Y314:Y352" si="601">X314-S314</f>
        <v>0</v>
      </c>
      <c r="Z314" s="85">
        <f>S314</f>
        <v>0</v>
      </c>
      <c r="AA314" s="29">
        <f t="shared" si="584"/>
        <v>0</v>
      </c>
      <c r="AB314" s="29">
        <f t="shared" si="585"/>
        <v>0</v>
      </c>
      <c r="AC314" s="72"/>
      <c r="AD314" s="72"/>
      <c r="AE314" s="72"/>
      <c r="AF314" s="72"/>
      <c r="AG314" s="72"/>
      <c r="AH314" s="85">
        <f t="shared" si="586"/>
        <v>0</v>
      </c>
      <c r="AI314" s="85"/>
      <c r="AJ314" s="85">
        <f t="shared" si="587"/>
        <v>0</v>
      </c>
      <c r="AK314" s="86"/>
      <c r="AL314" s="133"/>
      <c r="AM314" s="27">
        <f t="shared" si="504"/>
        <v>0</v>
      </c>
      <c r="AN314" s="61">
        <f t="shared" si="505"/>
        <v>0</v>
      </c>
      <c r="AO314" s="62">
        <f t="shared" si="506"/>
        <v>0</v>
      </c>
      <c r="AQ314" s="85"/>
      <c r="AR314" s="85"/>
      <c r="AS314" s="85"/>
      <c r="AT314" s="86"/>
      <c r="AU314" s="71">
        <v>2622.36</v>
      </c>
      <c r="AV314" s="71">
        <f t="shared" si="588"/>
        <v>0</v>
      </c>
      <c r="AW314" s="71">
        <f t="shared" si="589"/>
        <v>0</v>
      </c>
      <c r="AX314" s="76">
        <f t="shared" si="590"/>
        <v>0</v>
      </c>
      <c r="AY314" s="76">
        <f t="shared" si="591"/>
        <v>0</v>
      </c>
      <c r="BE314" s="71">
        <v>0</v>
      </c>
      <c r="BF314" s="71">
        <v>0</v>
      </c>
      <c r="BG314" s="78">
        <f t="shared" si="592"/>
        <v>0</v>
      </c>
      <c r="BH314" s="71">
        <f t="shared" si="593"/>
        <v>0</v>
      </c>
      <c r="BI314" s="33">
        <f t="shared" si="594"/>
        <v>0</v>
      </c>
      <c r="BJ314" s="33">
        <f t="shared" si="595"/>
        <v>-2622.36</v>
      </c>
      <c r="BK314" s="71"/>
      <c r="BL314" s="79">
        <f t="shared" si="596"/>
        <v>0</v>
      </c>
      <c r="BM314" s="79">
        <f t="shared" si="597"/>
        <v>0</v>
      </c>
      <c r="BN314" s="32"/>
      <c r="BO314" s="32"/>
      <c r="BP314" s="71">
        <v>0</v>
      </c>
      <c r="BQ314" s="32">
        <f t="shared" si="507"/>
        <v>0</v>
      </c>
      <c r="BR314" s="32">
        <f t="shared" si="508"/>
        <v>0</v>
      </c>
      <c r="BS314" s="32"/>
      <c r="BT314" s="32"/>
      <c r="BU314" s="33"/>
      <c r="BV314" s="34">
        <f t="shared" si="509"/>
        <v>0</v>
      </c>
      <c r="BY314" s="82"/>
      <c r="BZ314" s="82"/>
      <c r="CC314" s="37"/>
      <c r="CD314" s="71">
        <v>2622.36</v>
      </c>
    </row>
    <row r="315" spans="1:82" s="77" customFormat="1" ht="18" customHeight="1" x14ac:dyDescent="0.25">
      <c r="A315" s="99" t="s">
        <v>58</v>
      </c>
      <c r="B315" s="100"/>
      <c r="C315" s="101"/>
      <c r="D315" s="93"/>
      <c r="E315" s="98"/>
      <c r="F315" s="121" t="s">
        <v>772</v>
      </c>
      <c r="G315" s="106">
        <v>600</v>
      </c>
      <c r="H315" s="106">
        <v>800</v>
      </c>
      <c r="I315" s="106">
        <v>900</v>
      </c>
      <c r="J315" s="70" t="s">
        <v>773</v>
      </c>
      <c r="K315" s="106">
        <v>683.05</v>
      </c>
      <c r="L315" s="106">
        <v>31.8</v>
      </c>
      <c r="M315" s="106">
        <f>L315</f>
        <v>31.8</v>
      </c>
      <c r="N315" s="106">
        <f>M315*2</f>
        <v>63.6</v>
      </c>
      <c r="O315" s="106">
        <f>N315+650</f>
        <v>713.6</v>
      </c>
      <c r="P315" s="106">
        <f t="shared" si="583"/>
        <v>-836.4</v>
      </c>
      <c r="Q315" s="106">
        <v>245.22</v>
      </c>
      <c r="R315" s="106"/>
      <c r="S315" s="106">
        <f>Q315+620+922.85</f>
        <v>1788.0700000000002</v>
      </c>
      <c r="T315" s="106">
        <f t="shared" si="598"/>
        <v>888.07000000000016</v>
      </c>
      <c r="U315" s="107">
        <f t="shared" si="599"/>
        <v>1105.0200000000002</v>
      </c>
      <c r="V315" s="106">
        <f t="shared" si="600"/>
        <v>1074.4700000000003</v>
      </c>
      <c r="W315" s="108" t="s">
        <v>774</v>
      </c>
      <c r="X315" s="109">
        <f>(1751.17/11*12)+31.8+25</f>
        <v>1967.1672727272728</v>
      </c>
      <c r="Y315" s="24">
        <f t="shared" si="601"/>
        <v>179.09727272727264</v>
      </c>
      <c r="Z315" s="85">
        <v>2085</v>
      </c>
      <c r="AA315" s="29">
        <f t="shared" si="584"/>
        <v>1185</v>
      </c>
      <c r="AB315" s="29">
        <f t="shared" si="585"/>
        <v>296.92999999999984</v>
      </c>
      <c r="AC315" s="72" t="s">
        <v>309</v>
      </c>
      <c r="AD315" s="72"/>
      <c r="AE315" s="72"/>
      <c r="AF315" s="72"/>
      <c r="AG315" s="72"/>
      <c r="AH315" s="85">
        <f t="shared" si="586"/>
        <v>2085</v>
      </c>
      <c r="AI315" s="85">
        <f>1115.13/7*12</f>
        <v>1911.6514285714288</v>
      </c>
      <c r="AJ315" s="85">
        <f t="shared" si="587"/>
        <v>0</v>
      </c>
      <c r="AK315" s="86">
        <v>2118.84</v>
      </c>
      <c r="AL315" s="123">
        <f>2095.73/11*12</f>
        <v>2286.2509090909093</v>
      </c>
      <c r="AM315" s="27">
        <f t="shared" si="504"/>
        <v>374.59948051948049</v>
      </c>
      <c r="AN315" s="61">
        <f t="shared" si="505"/>
        <v>201.25090909090932</v>
      </c>
      <c r="AO315" s="62">
        <f t="shared" si="506"/>
        <v>-173.34857142857118</v>
      </c>
      <c r="AQ315" s="90" t="s">
        <v>106</v>
      </c>
      <c r="AR315" s="90" t="s">
        <v>107</v>
      </c>
      <c r="AS315" s="90" t="s">
        <v>106</v>
      </c>
      <c r="AT315" s="86">
        <f>AL315</f>
        <v>2286.2509090909093</v>
      </c>
      <c r="AU315" s="71">
        <v>2413.25</v>
      </c>
      <c r="AV315" s="71">
        <f t="shared" si="588"/>
        <v>2300</v>
      </c>
      <c r="AW315" s="71">
        <f t="shared" si="589"/>
        <v>215</v>
      </c>
      <c r="AX315" s="76">
        <f t="shared" si="590"/>
        <v>201.25090909090932</v>
      </c>
      <c r="AY315" s="76">
        <f t="shared" si="591"/>
        <v>0</v>
      </c>
      <c r="AZ315" s="77" t="s">
        <v>250</v>
      </c>
      <c r="BE315" s="71">
        <v>2300</v>
      </c>
      <c r="BF315" s="71">
        <f>2258.51/7*12</f>
        <v>3871.7314285714288</v>
      </c>
      <c r="BG315" s="78">
        <f t="shared" si="592"/>
        <v>0</v>
      </c>
      <c r="BH315" s="71">
        <f t="shared" si="593"/>
        <v>3871.7314285714288</v>
      </c>
      <c r="BI315" s="33">
        <f t="shared" si="594"/>
        <v>1571.7314285714288</v>
      </c>
      <c r="BJ315" s="33">
        <f t="shared" si="595"/>
        <v>1458.4814285714288</v>
      </c>
      <c r="BK315" s="71">
        <v>3610.2654545454543</v>
      </c>
      <c r="BL315" s="79">
        <f t="shared" si="596"/>
        <v>-261.46597402597445</v>
      </c>
      <c r="BM315" s="79">
        <f t="shared" si="597"/>
        <v>1310.2654545454543</v>
      </c>
      <c r="BN315" s="87" t="s">
        <v>775</v>
      </c>
      <c r="BO315" s="91" t="s">
        <v>109</v>
      </c>
      <c r="BP315" s="71">
        <v>3502.21</v>
      </c>
      <c r="BQ315" s="32">
        <f t="shared" si="507"/>
        <v>-108.05545454545427</v>
      </c>
      <c r="BR315" s="32">
        <f t="shared" si="508"/>
        <v>1202.21</v>
      </c>
      <c r="BS315" s="92"/>
      <c r="BT315" s="87" t="s">
        <v>775</v>
      </c>
      <c r="BU315" s="33"/>
      <c r="BV315" s="34">
        <f t="shared" si="509"/>
        <v>1571.7314285714288</v>
      </c>
      <c r="BY315" s="82"/>
      <c r="BZ315" s="82"/>
      <c r="CC315" s="37"/>
      <c r="CD315" s="71">
        <v>2413.25</v>
      </c>
    </row>
    <row r="316" spans="1:82" s="77" customFormat="1" ht="18" customHeight="1" x14ac:dyDescent="0.25">
      <c r="A316" s="99" t="s">
        <v>58</v>
      </c>
      <c r="B316" s="100"/>
      <c r="C316" s="101"/>
      <c r="D316" s="93"/>
      <c r="E316" s="98"/>
      <c r="F316" s="121" t="s">
        <v>776</v>
      </c>
      <c r="G316" s="106">
        <v>6400</v>
      </c>
      <c r="H316" s="106">
        <v>5800</v>
      </c>
      <c r="I316" s="106">
        <v>5600</v>
      </c>
      <c r="J316" s="70" t="s">
        <v>777</v>
      </c>
      <c r="K316" s="106">
        <v>5960.15</v>
      </c>
      <c r="L316" s="106">
        <v>2003.21</v>
      </c>
      <c r="M316" s="106">
        <f>L316</f>
        <v>2003.21</v>
      </c>
      <c r="N316" s="106">
        <f>M316*2</f>
        <v>4006.42</v>
      </c>
      <c r="O316" s="106">
        <f>N316</f>
        <v>4006.42</v>
      </c>
      <c r="P316" s="106">
        <f t="shared" si="583"/>
        <v>-1593.58</v>
      </c>
      <c r="Q316" s="106">
        <v>4243.6499999999996</v>
      </c>
      <c r="R316" s="106"/>
      <c r="S316" s="106">
        <f>Q316/9*12</f>
        <v>5658.2</v>
      </c>
      <c r="T316" s="106">
        <f t="shared" si="598"/>
        <v>58.199999999999818</v>
      </c>
      <c r="U316" s="107">
        <f t="shared" si="599"/>
        <v>-301.94999999999982</v>
      </c>
      <c r="V316" s="106">
        <f t="shared" si="600"/>
        <v>1651.7799999999997</v>
      </c>
      <c r="W316" s="108"/>
      <c r="X316" s="109">
        <f>4384.3+707.08+(43*16)+((78+88+124)/3)</f>
        <v>5876.0466666666671</v>
      </c>
      <c r="Y316" s="24">
        <f t="shared" si="601"/>
        <v>217.84666666666726</v>
      </c>
      <c r="Z316" s="85">
        <v>5876</v>
      </c>
      <c r="AA316" s="29">
        <f t="shared" si="584"/>
        <v>276</v>
      </c>
      <c r="AB316" s="29">
        <f t="shared" si="585"/>
        <v>217.80000000000018</v>
      </c>
      <c r="AC316" s="72"/>
      <c r="AD316" s="72"/>
      <c r="AE316" s="72"/>
      <c r="AF316" s="72"/>
      <c r="AG316" s="72"/>
      <c r="AH316" s="85">
        <f t="shared" si="586"/>
        <v>5876</v>
      </c>
      <c r="AI316" s="85">
        <v>7623.69</v>
      </c>
      <c r="AJ316" s="85">
        <f t="shared" si="587"/>
        <v>0</v>
      </c>
      <c r="AK316" s="86">
        <v>7559.31</v>
      </c>
      <c r="AL316" s="123">
        <f>6689.53+700+100</f>
        <v>7489.53</v>
      </c>
      <c r="AM316" s="27">
        <f t="shared" si="504"/>
        <v>-134.15999999999985</v>
      </c>
      <c r="AN316" s="61">
        <f t="shared" si="505"/>
        <v>1613.5299999999997</v>
      </c>
      <c r="AO316" s="62">
        <f t="shared" si="506"/>
        <v>1747.6899999999996</v>
      </c>
      <c r="AQ316" s="85" t="s">
        <v>368</v>
      </c>
      <c r="AR316" s="85" t="s">
        <v>368</v>
      </c>
      <c r="AS316" s="85" t="s">
        <v>368</v>
      </c>
      <c r="AT316" s="86">
        <f>AL316</f>
        <v>7489.53</v>
      </c>
      <c r="AU316" s="71">
        <v>7785.53</v>
      </c>
      <c r="AV316" s="71">
        <f t="shared" si="588"/>
        <v>7500</v>
      </c>
      <c r="AW316" s="71">
        <f t="shared" si="589"/>
        <v>1624</v>
      </c>
      <c r="AX316" s="76">
        <f t="shared" si="590"/>
        <v>1613.5299999999997</v>
      </c>
      <c r="AY316" s="76">
        <f t="shared" si="591"/>
        <v>0</v>
      </c>
      <c r="AZ316" s="77" t="s">
        <v>250</v>
      </c>
      <c r="BE316" s="71">
        <v>7500</v>
      </c>
      <c r="BF316" s="71">
        <v>8000</v>
      </c>
      <c r="BG316" s="78">
        <f t="shared" si="592"/>
        <v>0</v>
      </c>
      <c r="BH316" s="71">
        <f t="shared" si="593"/>
        <v>8000</v>
      </c>
      <c r="BI316" s="33">
        <f t="shared" si="594"/>
        <v>500</v>
      </c>
      <c r="BJ316" s="33">
        <f t="shared" si="595"/>
        <v>214.47000000000025</v>
      </c>
      <c r="BK316" s="71">
        <v>7817.1739393939397</v>
      </c>
      <c r="BL316" s="79">
        <f t="shared" si="596"/>
        <v>-182.82606060606031</v>
      </c>
      <c r="BM316" s="79">
        <f t="shared" si="597"/>
        <v>317.17393939393969</v>
      </c>
      <c r="BN316" s="32"/>
      <c r="BO316" s="32"/>
      <c r="BP316" s="71">
        <v>7991.28</v>
      </c>
      <c r="BQ316" s="32">
        <f t="shared" si="507"/>
        <v>174.10606060606005</v>
      </c>
      <c r="BR316" s="32">
        <f t="shared" si="508"/>
        <v>491.27999999999975</v>
      </c>
      <c r="BS316" s="32"/>
      <c r="BT316" s="32"/>
      <c r="BU316" s="33"/>
      <c r="BV316" s="34">
        <f t="shared" si="509"/>
        <v>500</v>
      </c>
      <c r="BY316" s="82"/>
      <c r="BZ316" s="82"/>
      <c r="CC316" s="37"/>
      <c r="CD316" s="71">
        <v>7785.53</v>
      </c>
    </row>
    <row r="317" spans="1:82" s="77" customFormat="1" ht="18" customHeight="1" x14ac:dyDescent="0.25">
      <c r="A317" s="99" t="s">
        <v>58</v>
      </c>
      <c r="B317" s="100"/>
      <c r="C317" s="101"/>
      <c r="D317" s="93"/>
      <c r="E317" s="98"/>
      <c r="F317" s="121" t="s">
        <v>778</v>
      </c>
      <c r="G317" s="106">
        <v>1000</v>
      </c>
      <c r="H317" s="106">
        <v>300</v>
      </c>
      <c r="I317" s="106">
        <v>1000</v>
      </c>
      <c r="J317" s="70"/>
      <c r="K317" s="106">
        <v>266.87</v>
      </c>
      <c r="L317" s="106">
        <v>0</v>
      </c>
      <c r="M317" s="106">
        <v>0</v>
      </c>
      <c r="N317" s="106">
        <v>1000</v>
      </c>
      <c r="O317" s="106">
        <v>1000</v>
      </c>
      <c r="P317" s="106">
        <f t="shared" si="583"/>
        <v>0</v>
      </c>
      <c r="Q317" s="106"/>
      <c r="R317" s="106"/>
      <c r="S317" s="106"/>
      <c r="T317" s="106">
        <f t="shared" si="598"/>
        <v>-1000</v>
      </c>
      <c r="U317" s="107">
        <f t="shared" si="599"/>
        <v>-266.87</v>
      </c>
      <c r="V317" s="106">
        <f t="shared" si="600"/>
        <v>-1000</v>
      </c>
      <c r="W317" s="108"/>
      <c r="X317" s="109">
        <f>200</f>
        <v>200</v>
      </c>
      <c r="Y317" s="24">
        <f t="shared" si="601"/>
        <v>200</v>
      </c>
      <c r="Z317" s="85">
        <v>200</v>
      </c>
      <c r="AA317" s="29">
        <f t="shared" si="584"/>
        <v>-800</v>
      </c>
      <c r="AB317" s="29">
        <f t="shared" si="585"/>
        <v>200</v>
      </c>
      <c r="AC317" s="72"/>
      <c r="AD317" s="72"/>
      <c r="AE317" s="72"/>
      <c r="AF317" s="72"/>
      <c r="AG317" s="72"/>
      <c r="AH317" s="85">
        <f t="shared" si="586"/>
        <v>200</v>
      </c>
      <c r="AI317" s="85">
        <f>1326.95+500</f>
        <v>1826.95</v>
      </c>
      <c r="AJ317" s="85">
        <f t="shared" si="587"/>
        <v>0</v>
      </c>
      <c r="AK317" s="86">
        <v>1826.95</v>
      </c>
      <c r="AL317" s="123">
        <v>1826.95</v>
      </c>
      <c r="AM317" s="27">
        <f t="shared" si="504"/>
        <v>0</v>
      </c>
      <c r="AN317" s="61">
        <f t="shared" si="505"/>
        <v>1626.95</v>
      </c>
      <c r="AO317" s="62">
        <f t="shared" si="506"/>
        <v>1626.95</v>
      </c>
      <c r="AQ317" s="85" t="s">
        <v>779</v>
      </c>
      <c r="AR317" s="85" t="s">
        <v>779</v>
      </c>
      <c r="AS317" s="85" t="s">
        <v>779</v>
      </c>
      <c r="AT317" s="86">
        <f>AL317</f>
        <v>1826.95</v>
      </c>
      <c r="AU317" s="71">
        <v>1826.95</v>
      </c>
      <c r="AV317" s="71">
        <f t="shared" si="588"/>
        <v>1900</v>
      </c>
      <c r="AW317" s="71">
        <f t="shared" si="589"/>
        <v>1700</v>
      </c>
      <c r="AX317" s="76">
        <f t="shared" si="590"/>
        <v>1626.95</v>
      </c>
      <c r="AY317" s="76">
        <f t="shared" si="591"/>
        <v>0</v>
      </c>
      <c r="AZ317" s="77" t="s">
        <v>250</v>
      </c>
      <c r="BE317" s="71">
        <v>1900</v>
      </c>
      <c r="BF317" s="71">
        <f>AV317</f>
        <v>1900</v>
      </c>
      <c r="BG317" s="78">
        <f t="shared" si="592"/>
        <v>0</v>
      </c>
      <c r="BH317" s="71">
        <f t="shared" si="593"/>
        <v>1900</v>
      </c>
      <c r="BI317" s="33">
        <f t="shared" si="594"/>
        <v>0</v>
      </c>
      <c r="BJ317" s="33">
        <f t="shared" si="595"/>
        <v>73.049999999999955</v>
      </c>
      <c r="BK317" s="71">
        <f>BH317</f>
        <v>1900</v>
      </c>
      <c r="BL317" s="79">
        <f t="shared" si="596"/>
        <v>0</v>
      </c>
      <c r="BM317" s="79">
        <f t="shared" si="597"/>
        <v>0</v>
      </c>
      <c r="BN317" s="87" t="s">
        <v>780</v>
      </c>
      <c r="BO317" s="87" t="s">
        <v>781</v>
      </c>
      <c r="BP317" s="71">
        <v>1504.88</v>
      </c>
      <c r="BQ317" s="32">
        <f t="shared" si="507"/>
        <v>-395.11999999999989</v>
      </c>
      <c r="BR317" s="32">
        <f t="shared" si="508"/>
        <v>-395.11999999999989</v>
      </c>
      <c r="BS317" s="32"/>
      <c r="BT317" s="87" t="s">
        <v>780</v>
      </c>
      <c r="BU317" s="33"/>
      <c r="BV317" s="34">
        <f t="shared" si="509"/>
        <v>0</v>
      </c>
      <c r="BY317" s="82"/>
      <c r="BZ317" s="82"/>
      <c r="CC317" s="37"/>
      <c r="CD317" s="71">
        <v>1826.95</v>
      </c>
    </row>
    <row r="318" spans="1:82" s="77" customFormat="1" ht="18" customHeight="1" x14ac:dyDescent="0.25">
      <c r="A318" s="99" t="s">
        <v>58</v>
      </c>
      <c r="B318" s="100"/>
      <c r="C318" s="101"/>
      <c r="D318" s="93"/>
      <c r="E318" s="98"/>
      <c r="F318" s="121" t="s">
        <v>782</v>
      </c>
      <c r="G318" s="106">
        <v>0</v>
      </c>
      <c r="H318" s="106"/>
      <c r="I318" s="106">
        <v>0</v>
      </c>
      <c r="J318" s="70" t="s">
        <v>783</v>
      </c>
      <c r="K318" s="106">
        <v>4678.62</v>
      </c>
      <c r="L318" s="106">
        <v>26773.11</v>
      </c>
      <c r="M318" s="106">
        <f>L318</f>
        <v>26773.11</v>
      </c>
      <c r="N318" s="106">
        <f>M318+5252.83</f>
        <v>32025.940000000002</v>
      </c>
      <c r="O318" s="106">
        <f>N318</f>
        <v>32025.940000000002</v>
      </c>
      <c r="P318" s="106">
        <f t="shared" si="583"/>
        <v>32025.940000000002</v>
      </c>
      <c r="Q318" s="106">
        <v>32025.94</v>
      </c>
      <c r="R318" s="106"/>
      <c r="S318" s="106">
        <f>Q318+(891*2)</f>
        <v>33807.94</v>
      </c>
      <c r="T318" s="106">
        <f t="shared" si="598"/>
        <v>33807.94</v>
      </c>
      <c r="U318" s="107">
        <f t="shared" si="599"/>
        <v>29129.320000000003</v>
      </c>
      <c r="V318" s="106">
        <f t="shared" si="600"/>
        <v>1782</v>
      </c>
      <c r="W318" s="108" t="s">
        <v>784</v>
      </c>
      <c r="X318" s="109">
        <f>36120.23</f>
        <v>36120.230000000003</v>
      </c>
      <c r="Y318" s="24">
        <f t="shared" si="601"/>
        <v>2312.2900000000009</v>
      </c>
      <c r="Z318" s="85">
        <f>I318</f>
        <v>0</v>
      </c>
      <c r="AA318" s="29">
        <f t="shared" si="584"/>
        <v>0</v>
      </c>
      <c r="AB318" s="29">
        <f t="shared" si="585"/>
        <v>-33807.94</v>
      </c>
      <c r="AC318" s="72"/>
      <c r="AD318" s="72"/>
      <c r="AE318" s="72"/>
      <c r="AF318" s="72"/>
      <c r="AG318" s="72"/>
      <c r="AH318" s="85">
        <f t="shared" si="586"/>
        <v>0</v>
      </c>
      <c r="AI318" s="85">
        <v>29162.92</v>
      </c>
      <c r="AJ318" s="85">
        <f t="shared" si="587"/>
        <v>0</v>
      </c>
      <c r="AK318" s="86">
        <v>29162.92</v>
      </c>
      <c r="AL318" s="123">
        <v>29162.92</v>
      </c>
      <c r="AM318" s="27">
        <f t="shared" si="504"/>
        <v>0</v>
      </c>
      <c r="AN318" s="61">
        <f t="shared" si="505"/>
        <v>29162.92</v>
      </c>
      <c r="AO318" s="62">
        <f t="shared" si="506"/>
        <v>29162.92</v>
      </c>
      <c r="AQ318" s="85" t="s">
        <v>785</v>
      </c>
      <c r="AR318" s="85" t="s">
        <v>785</v>
      </c>
      <c r="AS318" s="85" t="s">
        <v>785</v>
      </c>
      <c r="AT318" s="86">
        <v>0</v>
      </c>
      <c r="AU318" s="71">
        <v>29162.92</v>
      </c>
      <c r="AV318" s="71">
        <f t="shared" si="588"/>
        <v>0</v>
      </c>
      <c r="AW318" s="71">
        <f t="shared" si="589"/>
        <v>0</v>
      </c>
      <c r="AX318" s="76">
        <f t="shared" si="590"/>
        <v>0</v>
      </c>
      <c r="AY318" s="76">
        <f t="shared" si="591"/>
        <v>-29162.92</v>
      </c>
      <c r="BE318" s="71">
        <v>0</v>
      </c>
      <c r="BF318" s="71">
        <v>0</v>
      </c>
      <c r="BG318" s="78">
        <f t="shared" si="592"/>
        <v>0</v>
      </c>
      <c r="BH318" s="71">
        <v>1372.49</v>
      </c>
      <c r="BI318" s="33">
        <f t="shared" si="594"/>
        <v>0</v>
      </c>
      <c r="BJ318" s="33">
        <f t="shared" si="595"/>
        <v>-29162.92</v>
      </c>
      <c r="BK318" s="71">
        <v>1372.49</v>
      </c>
      <c r="BL318" s="79">
        <f t="shared" si="596"/>
        <v>0</v>
      </c>
      <c r="BM318" s="79">
        <f t="shared" si="597"/>
        <v>1372.49</v>
      </c>
      <c r="BN318" s="87" t="s">
        <v>786</v>
      </c>
      <c r="BO318" s="87" t="s">
        <v>786</v>
      </c>
      <c r="BP318" s="71">
        <v>1372.49</v>
      </c>
      <c r="BQ318" s="32">
        <f t="shared" si="507"/>
        <v>0</v>
      </c>
      <c r="BR318" s="32">
        <f t="shared" si="508"/>
        <v>1372.49</v>
      </c>
      <c r="BS318" s="87" t="s">
        <v>786</v>
      </c>
      <c r="BT318" s="32"/>
      <c r="BU318" s="33"/>
      <c r="BV318" s="34">
        <f t="shared" si="509"/>
        <v>1372.49</v>
      </c>
      <c r="BY318" s="82"/>
      <c r="BZ318" s="82"/>
      <c r="CC318" s="37"/>
      <c r="CD318" s="71">
        <v>29162.92</v>
      </c>
    </row>
    <row r="319" spans="1:82" s="77" customFormat="1" ht="18" customHeight="1" x14ac:dyDescent="0.25">
      <c r="A319" s="99" t="s">
        <v>58</v>
      </c>
      <c r="B319" s="100"/>
      <c r="C319" s="101"/>
      <c r="D319" s="93"/>
      <c r="E319" s="98"/>
      <c r="F319" s="121" t="s">
        <v>787</v>
      </c>
      <c r="G319" s="106">
        <v>0</v>
      </c>
      <c r="H319" s="106">
        <v>2800</v>
      </c>
      <c r="I319" s="106">
        <v>0</v>
      </c>
      <c r="J319" s="70" t="s">
        <v>788</v>
      </c>
      <c r="K319" s="106">
        <v>3313.27</v>
      </c>
      <c r="L319" s="106">
        <v>108</v>
      </c>
      <c r="M319" s="106">
        <f>L319</f>
        <v>108</v>
      </c>
      <c r="N319" s="106">
        <f>M319*2</f>
        <v>216</v>
      </c>
      <c r="O319" s="106">
        <f>N319</f>
        <v>216</v>
      </c>
      <c r="P319" s="106">
        <f t="shared" si="583"/>
        <v>216</v>
      </c>
      <c r="Q319" s="106">
        <v>946.93</v>
      </c>
      <c r="R319" s="106"/>
      <c r="S319" s="106">
        <f>Q319</f>
        <v>946.93</v>
      </c>
      <c r="T319" s="106">
        <f t="shared" si="598"/>
        <v>946.93</v>
      </c>
      <c r="U319" s="107">
        <f t="shared" si="599"/>
        <v>-2366.34</v>
      </c>
      <c r="V319" s="106">
        <f t="shared" si="600"/>
        <v>730.93</v>
      </c>
      <c r="W319" s="108"/>
      <c r="X319" s="109">
        <f>1090.62</f>
        <v>1090.6199999999999</v>
      </c>
      <c r="Y319" s="24">
        <f t="shared" si="601"/>
        <v>143.68999999999994</v>
      </c>
      <c r="Z319" s="85">
        <v>0</v>
      </c>
      <c r="AA319" s="29">
        <f t="shared" si="584"/>
        <v>0</v>
      </c>
      <c r="AB319" s="29">
        <f t="shared" si="585"/>
        <v>-946.93</v>
      </c>
      <c r="AC319" s="72"/>
      <c r="AD319" s="72"/>
      <c r="AE319" s="72"/>
      <c r="AF319" s="72"/>
      <c r="AG319" s="72"/>
      <c r="AH319" s="85">
        <f t="shared" si="586"/>
        <v>0</v>
      </c>
      <c r="AI319" s="85">
        <v>3124</v>
      </c>
      <c r="AJ319" s="85">
        <f t="shared" si="587"/>
        <v>0</v>
      </c>
      <c r="AK319" s="86">
        <v>3154</v>
      </c>
      <c r="AL319" s="123">
        <v>3236.21</v>
      </c>
      <c r="AM319" s="27">
        <f t="shared" si="504"/>
        <v>112.21000000000004</v>
      </c>
      <c r="AN319" s="61">
        <f t="shared" si="505"/>
        <v>3236.21</v>
      </c>
      <c r="AO319" s="62">
        <f t="shared" si="506"/>
        <v>3124</v>
      </c>
      <c r="AQ319" s="85" t="s">
        <v>789</v>
      </c>
      <c r="AR319" s="85" t="s">
        <v>790</v>
      </c>
      <c r="AS319" s="85" t="s">
        <v>789</v>
      </c>
      <c r="AT319" s="86">
        <v>0</v>
      </c>
      <c r="AU319" s="71">
        <v>50684.7</v>
      </c>
      <c r="AV319" s="71">
        <f t="shared" si="588"/>
        <v>0</v>
      </c>
      <c r="AW319" s="71">
        <f t="shared" si="589"/>
        <v>0</v>
      </c>
      <c r="AX319" s="76">
        <f t="shared" si="590"/>
        <v>0</v>
      </c>
      <c r="AY319" s="76">
        <f t="shared" si="591"/>
        <v>-3236.21</v>
      </c>
      <c r="BE319" s="71">
        <v>0</v>
      </c>
      <c r="BF319" s="71">
        <v>1980</v>
      </c>
      <c r="BG319" s="78">
        <f t="shared" si="592"/>
        <v>0</v>
      </c>
      <c r="BH319" s="71">
        <v>2062.42</v>
      </c>
      <c r="BI319" s="33">
        <f t="shared" si="594"/>
        <v>1980</v>
      </c>
      <c r="BJ319" s="33">
        <f t="shared" si="595"/>
        <v>-48704.7</v>
      </c>
      <c r="BK319" s="71">
        <v>3943.73</v>
      </c>
      <c r="BL319" s="79">
        <f t="shared" si="596"/>
        <v>1881.31</v>
      </c>
      <c r="BM319" s="79">
        <f t="shared" si="597"/>
        <v>3943.73</v>
      </c>
      <c r="BN319" s="87" t="s">
        <v>791</v>
      </c>
      <c r="BO319" s="87" t="s">
        <v>792</v>
      </c>
      <c r="BP319" s="71">
        <f>3943.73+687.86</f>
        <v>4631.59</v>
      </c>
      <c r="BQ319" s="32">
        <f t="shared" si="507"/>
        <v>687.86000000000013</v>
      </c>
      <c r="BR319" s="32">
        <f t="shared" si="508"/>
        <v>4631.59</v>
      </c>
      <c r="BS319" s="87" t="s">
        <v>793</v>
      </c>
      <c r="BT319" s="87" t="s">
        <v>794</v>
      </c>
      <c r="BU319" s="33"/>
      <c r="BV319" s="34">
        <f t="shared" si="509"/>
        <v>2062.42</v>
      </c>
      <c r="BY319" s="82"/>
      <c r="BZ319" s="82"/>
      <c r="CC319" s="37"/>
      <c r="CD319" s="71">
        <v>50684.7</v>
      </c>
    </row>
    <row r="320" spans="1:82" s="77" customFormat="1" ht="18" customHeight="1" x14ac:dyDescent="0.25">
      <c r="A320" s="99" t="s">
        <v>58</v>
      </c>
      <c r="B320" s="100"/>
      <c r="C320" s="101"/>
      <c r="D320" s="93"/>
      <c r="E320" s="98"/>
      <c r="F320" s="121" t="s">
        <v>795</v>
      </c>
      <c r="G320" s="106">
        <v>0</v>
      </c>
      <c r="H320" s="106">
        <v>2800</v>
      </c>
      <c r="I320" s="106">
        <v>0</v>
      </c>
      <c r="J320" s="70" t="s">
        <v>788</v>
      </c>
      <c r="K320" s="106">
        <v>3313.27</v>
      </c>
      <c r="L320" s="106">
        <v>108</v>
      </c>
      <c r="M320" s="106">
        <f>L320</f>
        <v>108</v>
      </c>
      <c r="N320" s="106">
        <f>M320*2</f>
        <v>216</v>
      </c>
      <c r="O320" s="106">
        <f>N320</f>
        <v>216</v>
      </c>
      <c r="P320" s="106">
        <f t="shared" si="583"/>
        <v>216</v>
      </c>
      <c r="Q320" s="106">
        <v>946.93</v>
      </c>
      <c r="R320" s="106"/>
      <c r="S320" s="106">
        <f>Q320</f>
        <v>946.93</v>
      </c>
      <c r="T320" s="106">
        <f t="shared" si="598"/>
        <v>946.93</v>
      </c>
      <c r="U320" s="107">
        <f t="shared" si="599"/>
        <v>-2366.34</v>
      </c>
      <c r="V320" s="106">
        <f t="shared" si="600"/>
        <v>730.93</v>
      </c>
      <c r="W320" s="108"/>
      <c r="X320" s="109">
        <f>1090.62</f>
        <v>1090.6199999999999</v>
      </c>
      <c r="Y320" s="24">
        <f t="shared" si="601"/>
        <v>143.68999999999994</v>
      </c>
      <c r="Z320" s="85">
        <v>0</v>
      </c>
      <c r="AA320" s="29">
        <f t="shared" si="584"/>
        <v>0</v>
      </c>
      <c r="AB320" s="29">
        <f t="shared" si="585"/>
        <v>-946.93</v>
      </c>
      <c r="AC320" s="72"/>
      <c r="AD320" s="72"/>
      <c r="AE320" s="72"/>
      <c r="AF320" s="72"/>
      <c r="AG320" s="72"/>
      <c r="AH320" s="85">
        <f t="shared" si="586"/>
        <v>0</v>
      </c>
      <c r="AI320" s="85">
        <v>3124</v>
      </c>
      <c r="AJ320" s="85">
        <f t="shared" si="587"/>
        <v>0</v>
      </c>
      <c r="AK320" s="86">
        <v>3154</v>
      </c>
      <c r="AL320" s="123">
        <v>3236.21</v>
      </c>
      <c r="AM320" s="27">
        <f t="shared" si="504"/>
        <v>112.21000000000004</v>
      </c>
      <c r="AN320" s="61">
        <f t="shared" si="505"/>
        <v>3236.21</v>
      </c>
      <c r="AO320" s="62">
        <f t="shared" si="506"/>
        <v>3124</v>
      </c>
      <c r="AQ320" s="85" t="s">
        <v>789</v>
      </c>
      <c r="AR320" s="85" t="s">
        <v>790</v>
      </c>
      <c r="AS320" s="85" t="s">
        <v>789</v>
      </c>
      <c r="AT320" s="86">
        <v>0</v>
      </c>
      <c r="AU320" s="71">
        <v>111269.13</v>
      </c>
      <c r="AV320" s="71">
        <f t="shared" si="588"/>
        <v>0</v>
      </c>
      <c r="AW320" s="71">
        <f t="shared" si="589"/>
        <v>0</v>
      </c>
      <c r="AX320" s="76">
        <f t="shared" si="590"/>
        <v>0</v>
      </c>
      <c r="AY320" s="76">
        <f t="shared" si="591"/>
        <v>-3236.21</v>
      </c>
      <c r="BE320" s="71">
        <v>0</v>
      </c>
      <c r="BF320" s="71">
        <v>0</v>
      </c>
      <c r="BG320" s="78">
        <f t="shared" si="592"/>
        <v>0</v>
      </c>
      <c r="BH320" s="71">
        <f>BF320</f>
        <v>0</v>
      </c>
      <c r="BI320" s="33">
        <f t="shared" si="594"/>
        <v>0</v>
      </c>
      <c r="BJ320" s="33">
        <f t="shared" si="595"/>
        <v>-111269.13</v>
      </c>
      <c r="BK320" s="71"/>
      <c r="BL320" s="79">
        <f t="shared" si="596"/>
        <v>0</v>
      </c>
      <c r="BM320" s="79">
        <f t="shared" si="597"/>
        <v>0</v>
      </c>
      <c r="BN320" s="32"/>
      <c r="BO320" s="32"/>
      <c r="BP320" s="71">
        <v>0</v>
      </c>
      <c r="BQ320" s="31">
        <f t="shared" si="507"/>
        <v>0</v>
      </c>
      <c r="BR320" s="31">
        <f t="shared" si="508"/>
        <v>0</v>
      </c>
      <c r="BS320" s="32"/>
      <c r="BT320" s="32"/>
      <c r="BU320" s="33"/>
      <c r="BV320" s="34">
        <f t="shared" si="509"/>
        <v>0</v>
      </c>
      <c r="BY320" s="82"/>
      <c r="BZ320" s="82"/>
      <c r="CC320" s="37"/>
      <c r="CD320" s="71">
        <v>111269.13</v>
      </c>
    </row>
    <row r="321" spans="1:82" s="35" customFormat="1" ht="18" customHeight="1" x14ac:dyDescent="0.25">
      <c r="A321" s="38"/>
      <c r="B321" s="210" t="s">
        <v>796</v>
      </c>
      <c r="C321" s="211"/>
      <c r="D321" s="211"/>
      <c r="E321" s="212"/>
      <c r="F321" s="213"/>
      <c r="G321" s="214"/>
      <c r="H321" s="214"/>
      <c r="I321" s="214">
        <f t="shared" ref="I321:Q321" si="602">I2-I86</f>
        <v>11500</v>
      </c>
      <c r="J321" s="214" t="e">
        <f t="shared" si="602"/>
        <v>#VALUE!</v>
      </c>
      <c r="K321" s="214">
        <f t="shared" si="602"/>
        <v>33969.280000001192</v>
      </c>
      <c r="L321" s="214">
        <f t="shared" si="602"/>
        <v>5367711.5600000005</v>
      </c>
      <c r="M321" s="214" t="e">
        <f t="shared" si="602"/>
        <v>#REF!</v>
      </c>
      <c r="N321" s="214">
        <f t="shared" si="602"/>
        <v>-23458.568866668269</v>
      </c>
      <c r="O321" s="214">
        <f t="shared" si="602"/>
        <v>-54385.583783425391</v>
      </c>
      <c r="P321" s="214">
        <f t="shared" si="602"/>
        <v>-6172552.5672000013</v>
      </c>
      <c r="Q321" s="214">
        <f t="shared" si="602"/>
        <v>929480.93999999668</v>
      </c>
      <c r="R321" s="214"/>
      <c r="S321" s="214">
        <f>S2-S86</f>
        <v>-106711.85130812414</v>
      </c>
      <c r="T321" s="214">
        <f t="shared" si="598"/>
        <v>-118211.85130812414</v>
      </c>
      <c r="U321" s="21">
        <f t="shared" si="599"/>
        <v>-140681.13130812533</v>
      </c>
      <c r="V321" s="214">
        <f t="shared" si="600"/>
        <v>-52326.267524698749</v>
      </c>
      <c r="W321" s="215"/>
      <c r="X321" s="23">
        <f>X2-X86</f>
        <v>-42147.922272728756</v>
      </c>
      <c r="Y321" s="24">
        <f t="shared" si="601"/>
        <v>64563.929035395384</v>
      </c>
      <c r="Z321" s="216">
        <f t="shared" ref="Z321:AL321" si="603">Z2-Z86</f>
        <v>17400</v>
      </c>
      <c r="AA321" s="216">
        <f t="shared" si="603"/>
        <v>-563616</v>
      </c>
      <c r="AB321" s="216">
        <f t="shared" si="603"/>
        <v>-429656.14869187877</v>
      </c>
      <c r="AC321" s="216" t="e">
        <f t="shared" si="603"/>
        <v>#VALUE!</v>
      </c>
      <c r="AD321" s="216">
        <f t="shared" si="603"/>
        <v>-686475.76250358822</v>
      </c>
      <c r="AE321" s="216">
        <f t="shared" si="603"/>
        <v>-689054.00105025456</v>
      </c>
      <c r="AF321" s="216">
        <f t="shared" si="603"/>
        <v>-392200</v>
      </c>
      <c r="AG321" s="216">
        <f t="shared" si="603"/>
        <v>-5300</v>
      </c>
      <c r="AH321" s="216">
        <f t="shared" si="603"/>
        <v>457544.97643849999</v>
      </c>
      <c r="AI321" s="216">
        <f t="shared" si="603"/>
        <v>456934.13474573568</v>
      </c>
      <c r="AJ321" s="216">
        <f t="shared" si="603"/>
        <v>440144.97643850313</v>
      </c>
      <c r="AK321" s="217">
        <f t="shared" si="603"/>
        <v>455677.48389695026</v>
      </c>
      <c r="AL321" s="216">
        <f t="shared" si="603"/>
        <v>409774.82169228978</v>
      </c>
      <c r="AM321" s="27">
        <f t="shared" si="504"/>
        <v>-47159.313053445891</v>
      </c>
      <c r="AN321" s="28">
        <f t="shared" si="505"/>
        <v>392374.82169228978</v>
      </c>
      <c r="AO321" s="50">
        <f t="shared" si="506"/>
        <v>439534.13474573568</v>
      </c>
      <c r="AQ321" s="216"/>
      <c r="AR321" s="216"/>
      <c r="AS321" s="216"/>
      <c r="AT321" s="217" t="e">
        <f t="shared" ref="AT321:BP321" si="604">AT2-AT86</f>
        <v>#REF!</v>
      </c>
      <c r="AU321" s="216">
        <f t="shared" si="604"/>
        <v>247366.95000000298</v>
      </c>
      <c r="AV321" s="216">
        <f t="shared" si="604"/>
        <v>-7300</v>
      </c>
      <c r="AW321" s="216">
        <f t="shared" si="604"/>
        <v>-24700</v>
      </c>
      <c r="AX321" s="216" t="e">
        <f t="shared" si="604"/>
        <v>#REF!</v>
      </c>
      <c r="AY321" s="216" t="e">
        <f t="shared" si="604"/>
        <v>#REF!</v>
      </c>
      <c r="AZ321" s="216">
        <f t="shared" si="604"/>
        <v>-211.52</v>
      </c>
      <c r="BA321" s="216">
        <f t="shared" si="604"/>
        <v>-2859.38</v>
      </c>
      <c r="BB321" s="216">
        <f t="shared" si="604"/>
        <v>-11.059999999999974</v>
      </c>
      <c r="BC321" s="216">
        <f t="shared" si="604"/>
        <v>-409219.99999999901</v>
      </c>
      <c r="BD321" s="216">
        <f t="shared" si="604"/>
        <v>-8843422.6642397866</v>
      </c>
      <c r="BE321" s="216">
        <f t="shared" si="604"/>
        <v>81483.229999998584</v>
      </c>
      <c r="BF321" s="216" t="e">
        <f t="shared" si="604"/>
        <v>#REF!</v>
      </c>
      <c r="BG321" s="216">
        <f t="shared" si="604"/>
        <v>88783.229999999749</v>
      </c>
      <c r="BH321" s="216">
        <f t="shared" si="604"/>
        <v>281369.46662462503</v>
      </c>
      <c r="BI321" s="216" t="e">
        <f t="shared" si="604"/>
        <v>#REF!</v>
      </c>
      <c r="BJ321" s="216" t="e">
        <f t="shared" si="604"/>
        <v>#REF!</v>
      </c>
      <c r="BK321" s="216">
        <f t="shared" si="604"/>
        <v>1422.2879963628948</v>
      </c>
      <c r="BL321" s="216">
        <f t="shared" si="604"/>
        <v>-279948.1786282605</v>
      </c>
      <c r="BM321" s="216">
        <f t="shared" si="604"/>
        <v>8720.2879963638261</v>
      </c>
      <c r="BN321" s="216" t="e">
        <f t="shared" si="604"/>
        <v>#VALUE!</v>
      </c>
      <c r="BO321" s="216" t="e">
        <f t="shared" si="604"/>
        <v>#VALUE!</v>
      </c>
      <c r="BP321" s="216">
        <f t="shared" si="604"/>
        <v>-26462.79999999702</v>
      </c>
      <c r="BQ321" s="31">
        <f t="shared" si="507"/>
        <v>-27885.087996359915</v>
      </c>
      <c r="BR321" s="31">
        <f t="shared" si="508"/>
        <v>-19162.79999999702</v>
      </c>
      <c r="BS321" s="32"/>
      <c r="BT321" s="32"/>
      <c r="BU321" s="33"/>
      <c r="BV321" s="34">
        <f t="shared" si="509"/>
        <v>288669.46662462503</v>
      </c>
      <c r="BY321" s="36"/>
      <c r="BZ321" s="36"/>
      <c r="CC321" s="37"/>
      <c r="CD321" s="216">
        <f>CD2-CD86</f>
        <v>247366.95000000298</v>
      </c>
    </row>
    <row r="322" spans="1:82" s="35" customFormat="1" ht="18" customHeight="1" x14ac:dyDescent="0.25">
      <c r="A322" s="18" t="s">
        <v>58</v>
      </c>
      <c r="B322" s="144" t="s">
        <v>797</v>
      </c>
      <c r="C322" s="119"/>
      <c r="D322" s="119"/>
      <c r="E322" s="122"/>
      <c r="F322" s="40"/>
      <c r="G322" s="218">
        <v>0</v>
      </c>
      <c r="H322" s="218">
        <v>-6310</v>
      </c>
      <c r="I322" s="218">
        <f t="shared" ref="I322:Q322" si="605">I323-I333</f>
        <v>-6300</v>
      </c>
      <c r="J322" s="218" t="e">
        <f t="shared" si="605"/>
        <v>#VALUE!</v>
      </c>
      <c r="K322" s="218">
        <f t="shared" si="605"/>
        <v>-5155.25</v>
      </c>
      <c r="L322" s="218">
        <f t="shared" si="605"/>
        <v>-0.05</v>
      </c>
      <c r="M322" s="218">
        <f t="shared" si="605"/>
        <v>-3200.05</v>
      </c>
      <c r="N322" s="218">
        <f t="shared" si="605"/>
        <v>-6404.05</v>
      </c>
      <c r="O322" s="218">
        <f t="shared" si="605"/>
        <v>-6404.05</v>
      </c>
      <c r="P322" s="218">
        <f t="shared" si="605"/>
        <v>-105.05</v>
      </c>
      <c r="Q322" s="218">
        <f t="shared" si="605"/>
        <v>-0.05</v>
      </c>
      <c r="R322" s="218"/>
      <c r="S322" s="218">
        <f>S323-S333</f>
        <v>-5600.14</v>
      </c>
      <c r="T322" s="218">
        <f t="shared" si="598"/>
        <v>699.85999999999967</v>
      </c>
      <c r="U322" s="21">
        <f t="shared" si="599"/>
        <v>-444.89000000000033</v>
      </c>
      <c r="V322" s="218">
        <f t="shared" si="600"/>
        <v>803.90999999999985</v>
      </c>
      <c r="W322" s="219"/>
      <c r="X322" s="23">
        <f>X323-X333</f>
        <v>-4615.62</v>
      </c>
      <c r="Y322" s="24">
        <f t="shared" si="601"/>
        <v>984.52000000000044</v>
      </c>
      <c r="Z322" s="220">
        <f t="shared" ref="Z322:AL322" si="606">Z323-Z333</f>
        <v>0</v>
      </c>
      <c r="AA322" s="220">
        <f t="shared" si="606"/>
        <v>6300</v>
      </c>
      <c r="AB322" s="220">
        <f t="shared" si="606"/>
        <v>5600.14</v>
      </c>
      <c r="AC322" s="220">
        <f t="shared" si="606"/>
        <v>0</v>
      </c>
      <c r="AD322" s="220">
        <f t="shared" si="606"/>
        <v>0</v>
      </c>
      <c r="AE322" s="220">
        <f t="shared" si="606"/>
        <v>0</v>
      </c>
      <c r="AF322" s="220">
        <f t="shared" si="606"/>
        <v>0</v>
      </c>
      <c r="AG322" s="220">
        <f t="shared" si="606"/>
        <v>0</v>
      </c>
      <c r="AH322" s="220">
        <f t="shared" si="606"/>
        <v>0</v>
      </c>
      <c r="AI322" s="220">
        <f t="shared" si="606"/>
        <v>20854.580000000002</v>
      </c>
      <c r="AJ322" s="220">
        <f t="shared" si="606"/>
        <v>0</v>
      </c>
      <c r="AK322" s="221">
        <f t="shared" si="606"/>
        <v>24757.533333333336</v>
      </c>
      <c r="AL322" s="220">
        <f t="shared" si="606"/>
        <v>24757.923333333336</v>
      </c>
      <c r="AM322" s="27">
        <f t="shared" ref="AM322:AM352" si="607">AL322-AI322</f>
        <v>3903.3433333333342</v>
      </c>
      <c r="AN322" s="28">
        <f t="shared" ref="AN322:AS352" si="608">AL322-Z322</f>
        <v>24757.923333333336</v>
      </c>
      <c r="AO322" s="50">
        <f t="shared" ref="AO322:AO332" si="609">AI322-Z322</f>
        <v>20854.580000000002</v>
      </c>
      <c r="AQ322" s="220"/>
      <c r="AR322" s="220"/>
      <c r="AS322" s="220"/>
      <c r="AT322" s="221">
        <f>AT323-AT333</f>
        <v>24757.533333333336</v>
      </c>
      <c r="AU322" s="220">
        <f t="shared" ref="AU322:BP322" si="610">AU323+AU333</f>
        <v>29223.29</v>
      </c>
      <c r="AV322" s="220">
        <f t="shared" si="610"/>
        <v>24700</v>
      </c>
      <c r="AW322" s="220">
        <f t="shared" si="610"/>
        <v>24700</v>
      </c>
      <c r="AX322" s="220">
        <f t="shared" si="610"/>
        <v>24757.533333333336</v>
      </c>
      <c r="AY322" s="220">
        <f t="shared" si="610"/>
        <v>0.78</v>
      </c>
      <c r="AZ322" s="220">
        <f t="shared" si="610"/>
        <v>0</v>
      </c>
      <c r="BA322" s="220">
        <f t="shared" si="610"/>
        <v>0</v>
      </c>
      <c r="BB322" s="220">
        <f t="shared" si="610"/>
        <v>0</v>
      </c>
      <c r="BC322" s="220">
        <f t="shared" si="610"/>
        <v>0</v>
      </c>
      <c r="BD322" s="220">
        <f t="shared" si="610"/>
        <v>0</v>
      </c>
      <c r="BE322" s="220">
        <f t="shared" si="610"/>
        <v>53000</v>
      </c>
      <c r="BF322" s="220">
        <f t="shared" si="610"/>
        <v>49295.15</v>
      </c>
      <c r="BG322" s="220">
        <f t="shared" si="610"/>
        <v>28300</v>
      </c>
      <c r="BH322" s="220">
        <f t="shared" si="610"/>
        <v>47164.796666666669</v>
      </c>
      <c r="BI322" s="220">
        <f t="shared" si="610"/>
        <v>24595.15</v>
      </c>
      <c r="BJ322" s="220">
        <f t="shared" si="610"/>
        <v>20071.86</v>
      </c>
      <c r="BK322" s="220">
        <f t="shared" si="610"/>
        <v>47164.796666666669</v>
      </c>
      <c r="BL322" s="220">
        <f t="shared" si="610"/>
        <v>0</v>
      </c>
      <c r="BM322" s="220">
        <f t="shared" si="610"/>
        <v>22464.796666666669</v>
      </c>
      <c r="BN322" s="220" t="e">
        <f t="shared" si="610"/>
        <v>#VALUE!</v>
      </c>
      <c r="BO322" s="220" t="e">
        <f t="shared" si="610"/>
        <v>#VALUE!</v>
      </c>
      <c r="BP322" s="220">
        <f t="shared" si="610"/>
        <v>45115.28</v>
      </c>
      <c r="BQ322" s="31">
        <f t="shared" ref="BQ322:BQ357" si="611">BP322-BK322</f>
        <v>-2049.5166666666701</v>
      </c>
      <c r="BR322" s="31">
        <f t="shared" ref="BR322:BR352" si="612">BP322-AV322</f>
        <v>20415.28</v>
      </c>
      <c r="BS322" s="32"/>
      <c r="BT322" s="32"/>
      <c r="BU322" s="33"/>
      <c r="BV322" s="34">
        <f t="shared" ref="BV322:BV352" si="613">BH322-AV322</f>
        <v>22464.796666666669</v>
      </c>
      <c r="BY322" s="36"/>
      <c r="BZ322" s="36"/>
      <c r="CC322" s="37"/>
      <c r="CD322" s="220">
        <f>CD323+CD333</f>
        <v>29223.29</v>
      </c>
    </row>
    <row r="323" spans="1:82" s="35" customFormat="1" ht="18" customHeight="1" x14ac:dyDescent="0.25">
      <c r="A323" s="38" t="s">
        <v>58</v>
      </c>
      <c r="B323" s="39"/>
      <c r="C323" s="119" t="s">
        <v>798</v>
      </c>
      <c r="D323" s="119"/>
      <c r="E323" s="122"/>
      <c r="F323" s="40"/>
      <c r="G323" s="20">
        <v>0</v>
      </c>
      <c r="H323" s="20">
        <v>0</v>
      </c>
      <c r="I323" s="20">
        <f t="shared" ref="I323:Q323" si="614">I324</f>
        <v>0</v>
      </c>
      <c r="J323" s="20">
        <f t="shared" si="614"/>
        <v>0</v>
      </c>
      <c r="K323" s="20">
        <f t="shared" si="614"/>
        <v>0</v>
      </c>
      <c r="L323" s="20">
        <f t="shared" si="614"/>
        <v>0</v>
      </c>
      <c r="M323" s="20">
        <f t="shared" si="614"/>
        <v>0</v>
      </c>
      <c r="N323" s="20">
        <f t="shared" si="614"/>
        <v>0</v>
      </c>
      <c r="O323" s="20">
        <f t="shared" si="614"/>
        <v>0</v>
      </c>
      <c r="P323" s="20">
        <f t="shared" si="614"/>
        <v>0</v>
      </c>
      <c r="Q323" s="20">
        <f t="shared" si="614"/>
        <v>0</v>
      </c>
      <c r="R323" s="20"/>
      <c r="S323" s="20">
        <f>S324</f>
        <v>0</v>
      </c>
      <c r="T323" s="20">
        <f t="shared" si="598"/>
        <v>0</v>
      </c>
      <c r="U323" s="21">
        <f t="shared" si="599"/>
        <v>0</v>
      </c>
      <c r="V323" s="20">
        <f t="shared" si="600"/>
        <v>0</v>
      </c>
      <c r="W323" s="22"/>
      <c r="X323" s="23">
        <f>X324</f>
        <v>0</v>
      </c>
      <c r="Y323" s="24">
        <f t="shared" si="601"/>
        <v>0</v>
      </c>
      <c r="Z323" s="25">
        <f t="shared" ref="Z323:AL323" si="615">Z324</f>
        <v>0</v>
      </c>
      <c r="AA323" s="25">
        <f t="shared" si="615"/>
        <v>0</v>
      </c>
      <c r="AB323" s="25">
        <f t="shared" si="615"/>
        <v>0</v>
      </c>
      <c r="AC323" s="25">
        <f t="shared" si="615"/>
        <v>0</v>
      </c>
      <c r="AD323" s="25">
        <f t="shared" si="615"/>
        <v>0</v>
      </c>
      <c r="AE323" s="25">
        <f t="shared" si="615"/>
        <v>0</v>
      </c>
      <c r="AF323" s="25">
        <f t="shared" si="615"/>
        <v>0</v>
      </c>
      <c r="AG323" s="25">
        <f t="shared" si="615"/>
        <v>0</v>
      </c>
      <c r="AH323" s="25">
        <f t="shared" si="615"/>
        <v>0</v>
      </c>
      <c r="AI323" s="25">
        <f t="shared" si="615"/>
        <v>20854.580000000002</v>
      </c>
      <c r="AJ323" s="25">
        <f t="shared" si="615"/>
        <v>0</v>
      </c>
      <c r="AK323" s="26">
        <f t="shared" si="615"/>
        <v>24757.533333333336</v>
      </c>
      <c r="AL323" s="25">
        <f t="shared" si="615"/>
        <v>24757.533333333336</v>
      </c>
      <c r="AM323" s="27">
        <f t="shared" si="607"/>
        <v>3902.9533333333347</v>
      </c>
      <c r="AN323" s="28">
        <f t="shared" si="608"/>
        <v>24757.533333333336</v>
      </c>
      <c r="AO323" s="50">
        <f t="shared" si="609"/>
        <v>20854.580000000002</v>
      </c>
      <c r="AQ323" s="25"/>
      <c r="AR323" s="25"/>
      <c r="AS323" s="25"/>
      <c r="AT323" s="26">
        <f t="shared" ref="AT323:BP323" si="616">AT324</f>
        <v>24757.533333333336</v>
      </c>
      <c r="AU323" s="25">
        <f t="shared" si="616"/>
        <v>29223.68</v>
      </c>
      <c r="AV323" s="25">
        <f t="shared" si="616"/>
        <v>24700</v>
      </c>
      <c r="AW323" s="25">
        <f t="shared" si="616"/>
        <v>24700</v>
      </c>
      <c r="AX323" s="25">
        <f t="shared" si="616"/>
        <v>24757.533333333336</v>
      </c>
      <c r="AY323" s="25">
        <f t="shared" si="616"/>
        <v>0</v>
      </c>
      <c r="AZ323" s="25">
        <f t="shared" si="616"/>
        <v>0</v>
      </c>
      <c r="BA323" s="25">
        <f t="shared" si="616"/>
        <v>0</v>
      </c>
      <c r="BB323" s="25">
        <f t="shared" si="616"/>
        <v>0</v>
      </c>
      <c r="BC323" s="25">
        <f t="shared" si="616"/>
        <v>0</v>
      </c>
      <c r="BD323" s="25">
        <f t="shared" si="616"/>
        <v>0</v>
      </c>
      <c r="BE323" s="25">
        <f t="shared" si="616"/>
        <v>53000</v>
      </c>
      <c r="BF323" s="25">
        <f t="shared" si="616"/>
        <v>49480.9</v>
      </c>
      <c r="BG323" s="25">
        <f t="shared" si="616"/>
        <v>28300</v>
      </c>
      <c r="BH323" s="25">
        <f t="shared" si="616"/>
        <v>47350.546666666669</v>
      </c>
      <c r="BI323" s="25">
        <f t="shared" si="616"/>
        <v>24780.9</v>
      </c>
      <c r="BJ323" s="25">
        <f t="shared" si="616"/>
        <v>20257.22</v>
      </c>
      <c r="BK323" s="25">
        <f t="shared" si="616"/>
        <v>47350.546666666669</v>
      </c>
      <c r="BL323" s="25">
        <f t="shared" si="616"/>
        <v>0</v>
      </c>
      <c r="BM323" s="25">
        <f t="shared" si="616"/>
        <v>22650.546666666669</v>
      </c>
      <c r="BN323" s="25" t="str">
        <f t="shared" si="616"/>
        <v>/3*4</v>
      </c>
      <c r="BO323" s="25" t="str">
        <f t="shared" si="616"/>
        <v>/3*4</v>
      </c>
      <c r="BP323" s="25">
        <f t="shared" si="616"/>
        <v>45301.03</v>
      </c>
      <c r="BQ323" s="31">
        <f t="shared" si="611"/>
        <v>-2049.5166666666701</v>
      </c>
      <c r="BR323" s="31">
        <f t="shared" si="612"/>
        <v>20601.03</v>
      </c>
      <c r="BS323" s="32"/>
      <c r="BT323" s="32"/>
      <c r="BU323" s="33"/>
      <c r="BV323" s="34">
        <f t="shared" si="613"/>
        <v>22650.546666666669</v>
      </c>
      <c r="BY323" s="36"/>
      <c r="BZ323" s="36"/>
      <c r="CC323" s="37"/>
      <c r="CD323" s="25">
        <f>CD324</f>
        <v>29223.68</v>
      </c>
    </row>
    <row r="324" spans="1:82" s="35" customFormat="1" ht="18" customHeight="1" x14ac:dyDescent="0.25">
      <c r="A324" s="38" t="s">
        <v>58</v>
      </c>
      <c r="B324" s="39"/>
      <c r="C324" s="93"/>
      <c r="D324" s="93" t="s">
        <v>799</v>
      </c>
      <c r="E324" s="103"/>
      <c r="F324" s="104"/>
      <c r="G324" s="46">
        <v>0</v>
      </c>
      <c r="H324" s="46">
        <v>0</v>
      </c>
      <c r="I324" s="46">
        <f t="shared" ref="I324:O324" si="617">I325+I327</f>
        <v>0</v>
      </c>
      <c r="J324" s="46">
        <f t="shared" si="617"/>
        <v>0</v>
      </c>
      <c r="K324" s="46">
        <f t="shared" si="617"/>
        <v>0</v>
      </c>
      <c r="L324" s="46">
        <f t="shared" si="617"/>
        <v>0</v>
      </c>
      <c r="M324" s="46">
        <f t="shared" si="617"/>
        <v>0</v>
      </c>
      <c r="N324" s="46">
        <f t="shared" si="617"/>
        <v>0</v>
      </c>
      <c r="O324" s="46">
        <f t="shared" si="617"/>
        <v>0</v>
      </c>
      <c r="P324" s="46">
        <f t="shared" ref="P324:P332" si="618">N324-I324</f>
        <v>0</v>
      </c>
      <c r="Q324" s="46"/>
      <c r="R324" s="46"/>
      <c r="S324" s="46"/>
      <c r="T324" s="46">
        <f t="shared" si="598"/>
        <v>0</v>
      </c>
      <c r="U324" s="21">
        <f t="shared" si="599"/>
        <v>0</v>
      </c>
      <c r="V324" s="46">
        <f t="shared" si="600"/>
        <v>0</v>
      </c>
      <c r="W324" s="47"/>
      <c r="X324" s="23"/>
      <c r="Y324" s="24">
        <f t="shared" si="601"/>
        <v>0</v>
      </c>
      <c r="Z324" s="48">
        <f t="shared" ref="Z324:AL324" si="619">Z327</f>
        <v>0</v>
      </c>
      <c r="AA324" s="48">
        <f t="shared" si="619"/>
        <v>0</v>
      </c>
      <c r="AB324" s="48">
        <f t="shared" si="619"/>
        <v>0</v>
      </c>
      <c r="AC324" s="48">
        <f t="shared" si="619"/>
        <v>0</v>
      </c>
      <c r="AD324" s="48">
        <f t="shared" si="619"/>
        <v>0</v>
      </c>
      <c r="AE324" s="48">
        <f t="shared" si="619"/>
        <v>0</v>
      </c>
      <c r="AF324" s="48">
        <f t="shared" si="619"/>
        <v>0</v>
      </c>
      <c r="AG324" s="48">
        <f t="shared" si="619"/>
        <v>0</v>
      </c>
      <c r="AH324" s="48">
        <f t="shared" si="619"/>
        <v>0</v>
      </c>
      <c r="AI324" s="48">
        <f t="shared" si="619"/>
        <v>20854.580000000002</v>
      </c>
      <c r="AJ324" s="48">
        <f t="shared" si="619"/>
        <v>0</v>
      </c>
      <c r="AK324" s="49">
        <f t="shared" si="619"/>
        <v>24757.533333333336</v>
      </c>
      <c r="AL324" s="48">
        <f t="shared" si="619"/>
        <v>24757.533333333336</v>
      </c>
      <c r="AM324" s="27">
        <f t="shared" si="607"/>
        <v>3902.9533333333347</v>
      </c>
      <c r="AN324" s="28">
        <f t="shared" si="608"/>
        <v>24757.533333333336</v>
      </c>
      <c r="AO324" s="50">
        <f t="shared" si="609"/>
        <v>20854.580000000002</v>
      </c>
      <c r="AQ324" s="48"/>
      <c r="AR324" s="48"/>
      <c r="AS324" s="48"/>
      <c r="AT324" s="49">
        <f t="shared" ref="AT324:BP324" si="620">AT327</f>
        <v>24757.533333333336</v>
      </c>
      <c r="AU324" s="48">
        <f t="shared" si="620"/>
        <v>29223.68</v>
      </c>
      <c r="AV324" s="48">
        <f t="shared" si="620"/>
        <v>24700</v>
      </c>
      <c r="AW324" s="48">
        <f t="shared" si="620"/>
        <v>24700</v>
      </c>
      <c r="AX324" s="48">
        <f t="shared" si="620"/>
        <v>24757.533333333336</v>
      </c>
      <c r="AY324" s="48">
        <f t="shared" si="620"/>
        <v>0</v>
      </c>
      <c r="AZ324" s="48">
        <f t="shared" si="620"/>
        <v>0</v>
      </c>
      <c r="BA324" s="48">
        <f t="shared" si="620"/>
        <v>0</v>
      </c>
      <c r="BB324" s="48">
        <f t="shared" si="620"/>
        <v>0</v>
      </c>
      <c r="BC324" s="48">
        <f t="shared" si="620"/>
        <v>0</v>
      </c>
      <c r="BD324" s="48">
        <f t="shared" si="620"/>
        <v>0</v>
      </c>
      <c r="BE324" s="48">
        <f t="shared" si="620"/>
        <v>53000</v>
      </c>
      <c r="BF324" s="48">
        <f t="shared" si="620"/>
        <v>49480.9</v>
      </c>
      <c r="BG324" s="48">
        <f t="shared" si="620"/>
        <v>28300</v>
      </c>
      <c r="BH324" s="48">
        <f t="shared" si="620"/>
        <v>47350.546666666669</v>
      </c>
      <c r="BI324" s="48">
        <f t="shared" si="620"/>
        <v>24780.9</v>
      </c>
      <c r="BJ324" s="48">
        <f t="shared" si="620"/>
        <v>20257.22</v>
      </c>
      <c r="BK324" s="48">
        <f t="shared" si="620"/>
        <v>47350.546666666669</v>
      </c>
      <c r="BL324" s="48">
        <f t="shared" si="620"/>
        <v>0</v>
      </c>
      <c r="BM324" s="48">
        <f t="shared" si="620"/>
        <v>22650.546666666669</v>
      </c>
      <c r="BN324" s="48" t="str">
        <f t="shared" si="620"/>
        <v>/3*4</v>
      </c>
      <c r="BO324" s="48" t="str">
        <f t="shared" si="620"/>
        <v>/3*4</v>
      </c>
      <c r="BP324" s="48">
        <f t="shared" si="620"/>
        <v>45301.03</v>
      </c>
      <c r="BQ324" s="31">
        <f t="shared" si="611"/>
        <v>-2049.5166666666701</v>
      </c>
      <c r="BR324" s="31">
        <f t="shared" si="612"/>
        <v>20601.03</v>
      </c>
      <c r="BS324" s="32"/>
      <c r="BT324" s="32"/>
      <c r="BU324" s="33"/>
      <c r="BV324" s="34">
        <f t="shared" si="613"/>
        <v>22650.546666666669</v>
      </c>
      <c r="BY324" s="36"/>
      <c r="BZ324" s="36"/>
      <c r="CC324" s="37"/>
      <c r="CD324" s="48">
        <f>CD327</f>
        <v>29223.68</v>
      </c>
    </row>
    <row r="325" spans="1:82" s="77" customFormat="1" ht="18" hidden="1" customHeight="1" x14ac:dyDescent="0.25">
      <c r="A325" s="99" t="s">
        <v>58</v>
      </c>
      <c r="B325" s="100"/>
      <c r="C325" s="101"/>
      <c r="D325" s="93"/>
      <c r="E325" s="98" t="s">
        <v>800</v>
      </c>
      <c r="F325" s="105"/>
      <c r="G325" s="55">
        <v>0</v>
      </c>
      <c r="H325" s="55">
        <v>0</v>
      </c>
      <c r="I325" s="55">
        <v>0</v>
      </c>
      <c r="J325" s="65"/>
      <c r="K325" s="55">
        <v>0</v>
      </c>
      <c r="L325" s="55"/>
      <c r="M325" s="55"/>
      <c r="N325" s="55"/>
      <c r="O325" s="55"/>
      <c r="P325" s="55">
        <f t="shared" si="618"/>
        <v>0</v>
      </c>
      <c r="Q325" s="55"/>
      <c r="R325" s="55"/>
      <c r="S325" s="55"/>
      <c r="T325" s="55">
        <f t="shared" si="598"/>
        <v>0</v>
      </c>
      <c r="U325" s="56">
        <f t="shared" si="599"/>
        <v>0</v>
      </c>
      <c r="V325" s="55">
        <f t="shared" si="600"/>
        <v>0</v>
      </c>
      <c r="W325" s="57"/>
      <c r="X325" s="58"/>
      <c r="Y325" s="24">
        <f t="shared" si="601"/>
        <v>0</v>
      </c>
      <c r="Z325" s="33"/>
      <c r="AA325" s="33"/>
      <c r="AB325" s="33"/>
      <c r="AC325" s="33"/>
      <c r="AD325" s="33"/>
      <c r="AE325" s="33"/>
      <c r="AF325" s="33"/>
      <c r="AG325" s="33"/>
      <c r="AH325" s="33"/>
      <c r="AI325" s="33"/>
      <c r="AJ325" s="33"/>
      <c r="AK325" s="60"/>
      <c r="AL325" s="33"/>
      <c r="AM325" s="27">
        <f t="shared" si="607"/>
        <v>0</v>
      </c>
      <c r="AN325" s="61">
        <f t="shared" si="608"/>
        <v>0</v>
      </c>
      <c r="AO325" s="62">
        <f t="shared" si="609"/>
        <v>0</v>
      </c>
      <c r="AQ325" s="33"/>
      <c r="AR325" s="33"/>
      <c r="AS325" s="33"/>
      <c r="AT325" s="60"/>
      <c r="AU325" s="33"/>
      <c r="AV325" s="33"/>
      <c r="AW325" s="33"/>
      <c r="AX325" s="33"/>
      <c r="AY325" s="33"/>
      <c r="AZ325" s="33"/>
      <c r="BA325" s="33"/>
      <c r="BB325" s="33"/>
      <c r="BC325" s="33"/>
      <c r="BD325" s="33"/>
      <c r="BE325" s="33"/>
      <c r="BF325" s="33"/>
      <c r="BG325" s="33"/>
      <c r="BH325" s="33"/>
      <c r="BI325" s="33"/>
      <c r="BJ325" s="33"/>
      <c r="BK325" s="33"/>
      <c r="BL325" s="33"/>
      <c r="BM325" s="33"/>
      <c r="BN325" s="33"/>
      <c r="BO325" s="33"/>
      <c r="BP325" s="33"/>
      <c r="BQ325" s="31">
        <f t="shared" si="611"/>
        <v>0</v>
      </c>
      <c r="BR325" s="31">
        <f t="shared" si="612"/>
        <v>0</v>
      </c>
      <c r="BS325" s="32"/>
      <c r="BT325" s="32"/>
      <c r="BU325" s="33"/>
      <c r="BV325" s="34">
        <f t="shared" si="613"/>
        <v>0</v>
      </c>
      <c r="BY325" s="82"/>
      <c r="BZ325" s="82"/>
      <c r="CC325" s="37"/>
      <c r="CD325" s="33"/>
    </row>
    <row r="326" spans="1:82" s="77" customFormat="1" ht="18" hidden="1" customHeight="1" x14ac:dyDescent="0.25">
      <c r="A326" s="99" t="s">
        <v>58</v>
      </c>
      <c r="B326" s="100"/>
      <c r="C326" s="101"/>
      <c r="D326" s="93"/>
      <c r="E326" s="98"/>
      <c r="F326" s="121" t="s">
        <v>801</v>
      </c>
      <c r="G326" s="115">
        <v>0</v>
      </c>
      <c r="H326" s="115">
        <v>0</v>
      </c>
      <c r="I326" s="115">
        <v>0</v>
      </c>
      <c r="J326" s="65"/>
      <c r="K326" s="115">
        <v>0</v>
      </c>
      <c r="L326" s="115"/>
      <c r="M326" s="115"/>
      <c r="N326" s="115"/>
      <c r="O326" s="115"/>
      <c r="P326" s="115">
        <f t="shared" si="618"/>
        <v>0</v>
      </c>
      <c r="Q326" s="115"/>
      <c r="R326" s="115"/>
      <c r="S326" s="115"/>
      <c r="T326" s="115">
        <f t="shared" si="598"/>
        <v>0</v>
      </c>
      <c r="U326" s="107">
        <f t="shared" si="599"/>
        <v>0</v>
      </c>
      <c r="V326" s="115">
        <f t="shared" si="600"/>
        <v>0</v>
      </c>
      <c r="W326" s="116"/>
      <c r="X326" s="109"/>
      <c r="Y326" s="24">
        <f t="shared" si="601"/>
        <v>0</v>
      </c>
      <c r="Z326" s="117"/>
      <c r="AA326" s="117"/>
      <c r="AB326" s="117"/>
      <c r="AC326" s="117"/>
      <c r="AD326" s="117"/>
      <c r="AE326" s="117"/>
      <c r="AF326" s="117"/>
      <c r="AG326" s="117"/>
      <c r="AH326" s="117"/>
      <c r="AI326" s="117"/>
      <c r="AJ326" s="117"/>
      <c r="AK326" s="118"/>
      <c r="AL326" s="117"/>
      <c r="AM326" s="27">
        <f t="shared" si="607"/>
        <v>0</v>
      </c>
      <c r="AN326" s="61">
        <f t="shared" si="608"/>
        <v>0</v>
      </c>
      <c r="AO326" s="62">
        <f t="shared" si="609"/>
        <v>0</v>
      </c>
      <c r="AQ326" s="117"/>
      <c r="AR326" s="117"/>
      <c r="AS326" s="117"/>
      <c r="AT326" s="118"/>
      <c r="AU326" s="117"/>
      <c r="AV326" s="117"/>
      <c r="AW326" s="117"/>
      <c r="AX326" s="117"/>
      <c r="AY326" s="117"/>
      <c r="AZ326" s="117"/>
      <c r="BA326" s="117"/>
      <c r="BB326" s="117"/>
      <c r="BC326" s="117"/>
      <c r="BD326" s="117"/>
      <c r="BE326" s="117"/>
      <c r="BF326" s="117"/>
      <c r="BG326" s="117"/>
      <c r="BH326" s="117"/>
      <c r="BI326" s="117"/>
      <c r="BJ326" s="117"/>
      <c r="BK326" s="117"/>
      <c r="BL326" s="117"/>
      <c r="BM326" s="117"/>
      <c r="BN326" s="117"/>
      <c r="BO326" s="117"/>
      <c r="BP326" s="117"/>
      <c r="BQ326" s="31">
        <f t="shared" si="611"/>
        <v>0</v>
      </c>
      <c r="BR326" s="31">
        <f t="shared" si="612"/>
        <v>0</v>
      </c>
      <c r="BS326" s="32"/>
      <c r="BT326" s="32"/>
      <c r="BU326" s="33"/>
      <c r="BV326" s="34">
        <f t="shared" si="613"/>
        <v>0</v>
      </c>
      <c r="BY326" s="82"/>
      <c r="BZ326" s="82"/>
      <c r="CC326" s="37"/>
      <c r="CD326" s="117"/>
    </row>
    <row r="327" spans="1:82" s="63" customFormat="1" ht="18" customHeight="1" x14ac:dyDescent="0.25">
      <c r="A327" s="96" t="s">
        <v>58</v>
      </c>
      <c r="B327" s="97"/>
      <c r="C327" s="98"/>
      <c r="D327" s="103"/>
      <c r="E327" s="98" t="s">
        <v>799</v>
      </c>
      <c r="F327" s="105"/>
      <c r="G327" s="55">
        <v>0</v>
      </c>
      <c r="H327" s="55">
        <v>0</v>
      </c>
      <c r="I327" s="55">
        <v>0</v>
      </c>
      <c r="J327" s="51"/>
      <c r="K327" s="55">
        <v>0</v>
      </c>
      <c r="L327" s="55"/>
      <c r="M327" s="55"/>
      <c r="N327" s="55"/>
      <c r="O327" s="55"/>
      <c r="P327" s="55">
        <f t="shared" si="618"/>
        <v>0</v>
      </c>
      <c r="Q327" s="55"/>
      <c r="R327" s="55"/>
      <c r="S327" s="55"/>
      <c r="T327" s="55">
        <f t="shared" si="598"/>
        <v>0</v>
      </c>
      <c r="U327" s="56">
        <f t="shared" si="599"/>
        <v>0</v>
      </c>
      <c r="V327" s="55">
        <f t="shared" si="600"/>
        <v>0</v>
      </c>
      <c r="W327" s="57"/>
      <c r="X327" s="58"/>
      <c r="Y327" s="59">
        <f t="shared" si="601"/>
        <v>0</v>
      </c>
      <c r="Z327" s="33">
        <f t="shared" ref="Z327:AL327" si="621">Z328</f>
        <v>0</v>
      </c>
      <c r="AA327" s="33">
        <f t="shared" si="621"/>
        <v>0</v>
      </c>
      <c r="AB327" s="33">
        <f t="shared" si="621"/>
        <v>0</v>
      </c>
      <c r="AC327" s="33">
        <f t="shared" si="621"/>
        <v>0</v>
      </c>
      <c r="AD327" s="33">
        <f t="shared" si="621"/>
        <v>0</v>
      </c>
      <c r="AE327" s="33">
        <f t="shared" si="621"/>
        <v>0</v>
      </c>
      <c r="AF327" s="33">
        <f t="shared" si="621"/>
        <v>0</v>
      </c>
      <c r="AG327" s="33">
        <f t="shared" si="621"/>
        <v>0</v>
      </c>
      <c r="AH327" s="33">
        <f t="shared" si="621"/>
        <v>0</v>
      </c>
      <c r="AI327" s="33">
        <f t="shared" si="621"/>
        <v>20854.580000000002</v>
      </c>
      <c r="AJ327" s="33">
        <f t="shared" si="621"/>
        <v>0</v>
      </c>
      <c r="AK327" s="60">
        <f t="shared" si="621"/>
        <v>24757.533333333336</v>
      </c>
      <c r="AL327" s="33">
        <f t="shared" si="621"/>
        <v>24757.533333333336</v>
      </c>
      <c r="AM327" s="27">
        <f t="shared" si="607"/>
        <v>3902.9533333333347</v>
      </c>
      <c r="AN327" s="61">
        <f t="shared" si="608"/>
        <v>24757.533333333336</v>
      </c>
      <c r="AO327" s="62">
        <f t="shared" si="609"/>
        <v>20854.580000000002</v>
      </c>
      <c r="AQ327" s="33"/>
      <c r="AR327" s="33"/>
      <c r="AS327" s="33"/>
      <c r="AT327" s="60">
        <f t="shared" ref="AT327:BP327" si="622">AT328</f>
        <v>24757.533333333336</v>
      </c>
      <c r="AU327" s="33">
        <f t="shared" si="622"/>
        <v>29223.68</v>
      </c>
      <c r="AV327" s="33">
        <f t="shared" si="622"/>
        <v>24700</v>
      </c>
      <c r="AW327" s="33">
        <f t="shared" si="622"/>
        <v>24700</v>
      </c>
      <c r="AX327" s="33">
        <f t="shared" si="622"/>
        <v>24757.533333333336</v>
      </c>
      <c r="AY327" s="33">
        <f t="shared" si="622"/>
        <v>0</v>
      </c>
      <c r="AZ327" s="33">
        <f t="shared" si="622"/>
        <v>0</v>
      </c>
      <c r="BA327" s="33">
        <f t="shared" si="622"/>
        <v>0</v>
      </c>
      <c r="BB327" s="33">
        <f t="shared" si="622"/>
        <v>0</v>
      </c>
      <c r="BC327" s="33">
        <f t="shared" si="622"/>
        <v>0</v>
      </c>
      <c r="BD327" s="33">
        <f t="shared" si="622"/>
        <v>0</v>
      </c>
      <c r="BE327" s="33">
        <f t="shared" si="622"/>
        <v>53000</v>
      </c>
      <c r="BF327" s="33">
        <f t="shared" si="622"/>
        <v>49480.9</v>
      </c>
      <c r="BG327" s="33">
        <f t="shared" si="622"/>
        <v>28300</v>
      </c>
      <c r="BH327" s="33">
        <f t="shared" si="622"/>
        <v>47350.546666666669</v>
      </c>
      <c r="BI327" s="33">
        <f t="shared" si="622"/>
        <v>24780.9</v>
      </c>
      <c r="BJ327" s="33">
        <f t="shared" si="622"/>
        <v>20257.22</v>
      </c>
      <c r="BK327" s="33">
        <f t="shared" si="622"/>
        <v>47350.546666666669</v>
      </c>
      <c r="BL327" s="33">
        <f t="shared" si="622"/>
        <v>0</v>
      </c>
      <c r="BM327" s="33">
        <f t="shared" si="622"/>
        <v>22650.546666666669</v>
      </c>
      <c r="BN327" s="33" t="str">
        <f t="shared" si="622"/>
        <v>/3*4</v>
      </c>
      <c r="BO327" s="33" t="str">
        <f t="shared" si="622"/>
        <v>/3*4</v>
      </c>
      <c r="BP327" s="33">
        <f t="shared" si="622"/>
        <v>45301.03</v>
      </c>
      <c r="BQ327" s="31">
        <f t="shared" si="611"/>
        <v>-2049.5166666666701</v>
      </c>
      <c r="BR327" s="31">
        <f t="shared" si="612"/>
        <v>20601.03</v>
      </c>
      <c r="BS327" s="32"/>
      <c r="BT327" s="32"/>
      <c r="BU327" s="33"/>
      <c r="BV327" s="34">
        <f t="shared" si="613"/>
        <v>22650.546666666669</v>
      </c>
      <c r="BY327" s="64"/>
      <c r="BZ327" s="64"/>
      <c r="CC327" s="37"/>
      <c r="CD327" s="33">
        <f>CD328</f>
        <v>29223.68</v>
      </c>
    </row>
    <row r="328" spans="1:82" s="77" customFormat="1" ht="18" customHeight="1" x14ac:dyDescent="0.25">
      <c r="A328" s="99" t="s">
        <v>58</v>
      </c>
      <c r="B328" s="100"/>
      <c r="C328" s="101"/>
      <c r="D328" s="93"/>
      <c r="E328" s="98"/>
      <c r="F328" s="121" t="s">
        <v>802</v>
      </c>
      <c r="G328" s="83">
        <v>0</v>
      </c>
      <c r="H328" s="83">
        <v>0</v>
      </c>
      <c r="I328" s="83">
        <v>0</v>
      </c>
      <c r="J328" s="65"/>
      <c r="K328" s="83">
        <v>0</v>
      </c>
      <c r="L328" s="83"/>
      <c r="M328" s="83"/>
      <c r="N328" s="83"/>
      <c r="O328" s="83"/>
      <c r="P328" s="83">
        <f t="shared" si="618"/>
        <v>0</v>
      </c>
      <c r="Q328" s="83"/>
      <c r="R328" s="83"/>
      <c r="S328" s="83"/>
      <c r="T328" s="83">
        <f t="shared" si="598"/>
        <v>0</v>
      </c>
      <c r="U328" s="83">
        <f t="shared" si="599"/>
        <v>0</v>
      </c>
      <c r="V328" s="83">
        <f t="shared" si="600"/>
        <v>0</v>
      </c>
      <c r="W328" s="84"/>
      <c r="X328" s="83"/>
      <c r="Y328" s="47">
        <f t="shared" si="601"/>
        <v>0</v>
      </c>
      <c r="Z328" s="85">
        <v>0</v>
      </c>
      <c r="AA328" s="29">
        <f>Z328-I328</f>
        <v>0</v>
      </c>
      <c r="AB328" s="29">
        <f>Z328-S328</f>
        <v>0</v>
      </c>
      <c r="AC328" s="72"/>
      <c r="AD328" s="72"/>
      <c r="AE328" s="72"/>
      <c r="AF328" s="72"/>
      <c r="AG328" s="72"/>
      <c r="AH328" s="85"/>
      <c r="AI328" s="85">
        <f>10427.29*2</f>
        <v>20854.580000000002</v>
      </c>
      <c r="AJ328" s="85">
        <f>AH328-Z328</f>
        <v>0</v>
      </c>
      <c r="AK328" s="86">
        <v>24757.533333333336</v>
      </c>
      <c r="AL328" s="85">
        <f>18568.15/3*4</f>
        <v>24757.533333333336</v>
      </c>
      <c r="AM328" s="74">
        <f t="shared" si="607"/>
        <v>3902.9533333333347</v>
      </c>
      <c r="AN328" s="33">
        <f t="shared" si="608"/>
        <v>24757.533333333336</v>
      </c>
      <c r="AO328" s="75">
        <f t="shared" si="609"/>
        <v>20854.580000000002</v>
      </c>
      <c r="AQ328" s="85" t="s">
        <v>803</v>
      </c>
      <c r="AR328" s="85" t="s">
        <v>804</v>
      </c>
      <c r="AS328" s="85" t="s">
        <v>803</v>
      </c>
      <c r="AT328" s="86">
        <f>18568.15/3*4</f>
        <v>24757.533333333336</v>
      </c>
      <c r="AU328" s="85">
        <v>29223.68</v>
      </c>
      <c r="AV328" s="85">
        <f>FLOOR(AT328,100)</f>
        <v>24700</v>
      </c>
      <c r="AW328" s="85">
        <f>AV328-Z328</f>
        <v>24700</v>
      </c>
      <c r="AX328" s="76">
        <f>AT328-Z328</f>
        <v>24757.533333333336</v>
      </c>
      <c r="AY328" s="76">
        <f>AT328-AL328</f>
        <v>0</v>
      </c>
      <c r="BE328" s="85">
        <f>FLOOR((13236.29+27.94)*4,100)</f>
        <v>53000</v>
      </c>
      <c r="BF328" s="85">
        <f>24740.45*2</f>
        <v>49480.9</v>
      </c>
      <c r="BG328" s="78">
        <f>BE328-AV328</f>
        <v>28300</v>
      </c>
      <c r="BH328" s="85">
        <v>47350.546666666669</v>
      </c>
      <c r="BI328" s="78">
        <f>BF328-AV328</f>
        <v>24780.9</v>
      </c>
      <c r="BJ328" s="78">
        <f>BF328-AU328</f>
        <v>20257.22</v>
      </c>
      <c r="BK328" s="71">
        <v>47350.546666666669</v>
      </c>
      <c r="BL328" s="79">
        <f>BK328-BH328</f>
        <v>0</v>
      </c>
      <c r="BM328" s="79">
        <f>BK328-AV328</f>
        <v>22650.546666666669</v>
      </c>
      <c r="BN328" s="91" t="s">
        <v>805</v>
      </c>
      <c r="BO328" s="91" t="s">
        <v>805</v>
      </c>
      <c r="BP328" s="71">
        <v>45301.03</v>
      </c>
      <c r="BQ328" s="32">
        <f t="shared" si="611"/>
        <v>-2049.5166666666701</v>
      </c>
      <c r="BR328" s="32">
        <f t="shared" si="612"/>
        <v>20601.03</v>
      </c>
      <c r="BS328" s="92"/>
      <c r="BT328" s="87" t="s">
        <v>806</v>
      </c>
      <c r="BU328" s="33" t="s">
        <v>807</v>
      </c>
      <c r="BV328" s="34">
        <f t="shared" si="613"/>
        <v>22650.546666666669</v>
      </c>
      <c r="BY328" s="82"/>
      <c r="BZ328" s="82"/>
      <c r="CC328" s="37"/>
      <c r="CD328" s="71">
        <v>29223.68</v>
      </c>
    </row>
    <row r="329" spans="1:82" s="77" customFormat="1" ht="18" hidden="1" customHeight="1" x14ac:dyDescent="0.25">
      <c r="A329" s="99" t="s">
        <v>58</v>
      </c>
      <c r="B329" s="100"/>
      <c r="C329" s="101"/>
      <c r="D329" s="93"/>
      <c r="E329" s="98"/>
      <c r="F329" s="121" t="s">
        <v>808</v>
      </c>
      <c r="G329" s="208">
        <v>0</v>
      </c>
      <c r="H329" s="208">
        <v>0</v>
      </c>
      <c r="I329" s="208">
        <v>0</v>
      </c>
      <c r="J329" s="65"/>
      <c r="K329" s="208">
        <v>0</v>
      </c>
      <c r="L329" s="208"/>
      <c r="M329" s="208"/>
      <c r="N329" s="208"/>
      <c r="O329" s="208"/>
      <c r="P329" s="208">
        <f t="shared" si="618"/>
        <v>0</v>
      </c>
      <c r="Q329" s="208"/>
      <c r="R329" s="208"/>
      <c r="S329" s="208"/>
      <c r="T329" s="208">
        <f t="shared" si="598"/>
        <v>0</v>
      </c>
      <c r="U329" s="107">
        <f t="shared" si="599"/>
        <v>0</v>
      </c>
      <c r="V329" s="208">
        <f t="shared" si="600"/>
        <v>0</v>
      </c>
      <c r="W329" s="222"/>
      <c r="X329" s="109"/>
      <c r="Y329" s="24">
        <f t="shared" si="601"/>
        <v>0</v>
      </c>
      <c r="Z329" s="223"/>
      <c r="AA329" s="110">
        <f>Z329-I329</f>
        <v>0</v>
      </c>
      <c r="AB329" s="110">
        <f>Z329-S329</f>
        <v>0</v>
      </c>
      <c r="AC329" s="72"/>
      <c r="AD329" s="72"/>
      <c r="AE329" s="72"/>
      <c r="AF329" s="72"/>
      <c r="AG329" s="72"/>
      <c r="AH329" s="223"/>
      <c r="AI329" s="223"/>
      <c r="AJ329" s="223">
        <f>AH329-Z329</f>
        <v>0</v>
      </c>
      <c r="AK329" s="224"/>
      <c r="AL329" s="223"/>
      <c r="AM329" s="27">
        <f t="shared" si="607"/>
        <v>0</v>
      </c>
      <c r="AN329" s="61">
        <f t="shared" si="608"/>
        <v>0</v>
      </c>
      <c r="AO329" s="62">
        <f t="shared" si="609"/>
        <v>0</v>
      </c>
      <c r="AQ329" s="223"/>
      <c r="AR329" s="223"/>
      <c r="AS329" s="223"/>
      <c r="AT329" s="224"/>
      <c r="AU329" s="223"/>
      <c r="AV329" s="223"/>
      <c r="AW329" s="223">
        <f>AV329-Z329</f>
        <v>0</v>
      </c>
      <c r="AX329" s="76">
        <f>AT329-Z329</f>
        <v>0</v>
      </c>
      <c r="AY329" s="76">
        <f>AT329-AL329</f>
        <v>0</v>
      </c>
      <c r="BE329" s="223"/>
      <c r="BF329" s="223"/>
      <c r="BG329" s="78">
        <f>BE329-AV329</f>
        <v>0</v>
      </c>
      <c r="BH329" s="223"/>
      <c r="BI329" s="78">
        <f>BF329-AV329</f>
        <v>0</v>
      </c>
      <c r="BJ329" s="78">
        <f>BF329-AU329</f>
        <v>0</v>
      </c>
      <c r="BK329" s="223"/>
      <c r="BL329" s="79">
        <f>BK329-BH329</f>
        <v>0</v>
      </c>
      <c r="BM329" s="79">
        <f>BK329-AV329</f>
        <v>0</v>
      </c>
      <c r="BN329" s="32"/>
      <c r="BO329" s="32"/>
      <c r="BP329" s="223"/>
      <c r="BQ329" s="31">
        <f t="shared" si="611"/>
        <v>0</v>
      </c>
      <c r="BR329" s="31">
        <f t="shared" si="612"/>
        <v>0</v>
      </c>
      <c r="BS329" s="32"/>
      <c r="BT329" s="32"/>
      <c r="BU329" s="33"/>
      <c r="BV329" s="34">
        <f t="shared" si="613"/>
        <v>0</v>
      </c>
      <c r="BY329" s="82"/>
      <c r="BZ329" s="82"/>
      <c r="CC329" s="37"/>
      <c r="CD329" s="223"/>
    </row>
    <row r="330" spans="1:82" s="77" customFormat="1" ht="18" hidden="1" customHeight="1" x14ac:dyDescent="0.25">
      <c r="A330" s="99" t="s">
        <v>58</v>
      </c>
      <c r="B330" s="100"/>
      <c r="C330" s="101"/>
      <c r="D330" s="93"/>
      <c r="E330" s="98"/>
      <c r="F330" s="121" t="s">
        <v>809</v>
      </c>
      <c r="G330" s="115">
        <v>0</v>
      </c>
      <c r="H330" s="115">
        <v>0</v>
      </c>
      <c r="I330" s="115">
        <v>0</v>
      </c>
      <c r="J330" s="65"/>
      <c r="K330" s="115">
        <v>0</v>
      </c>
      <c r="L330" s="115"/>
      <c r="M330" s="115"/>
      <c r="N330" s="115"/>
      <c r="O330" s="115"/>
      <c r="P330" s="115">
        <f t="shared" si="618"/>
        <v>0</v>
      </c>
      <c r="Q330" s="115"/>
      <c r="R330" s="115"/>
      <c r="S330" s="115"/>
      <c r="T330" s="115">
        <f t="shared" si="598"/>
        <v>0</v>
      </c>
      <c r="U330" s="107">
        <f t="shared" si="599"/>
        <v>0</v>
      </c>
      <c r="V330" s="115">
        <f t="shared" si="600"/>
        <v>0</v>
      </c>
      <c r="W330" s="116"/>
      <c r="X330" s="109"/>
      <c r="Y330" s="24">
        <f t="shared" si="601"/>
        <v>0</v>
      </c>
      <c r="Z330" s="117"/>
      <c r="AA330" s="110">
        <f>Z330-I330</f>
        <v>0</v>
      </c>
      <c r="AB330" s="110">
        <f>Z330-S330</f>
        <v>0</v>
      </c>
      <c r="AC330" s="72"/>
      <c r="AD330" s="72"/>
      <c r="AE330" s="72"/>
      <c r="AF330" s="72"/>
      <c r="AG330" s="72"/>
      <c r="AH330" s="117"/>
      <c r="AI330" s="117"/>
      <c r="AJ330" s="117">
        <f>AH330-Z330</f>
        <v>0</v>
      </c>
      <c r="AK330" s="118"/>
      <c r="AL330" s="117"/>
      <c r="AM330" s="27">
        <f t="shared" si="607"/>
        <v>0</v>
      </c>
      <c r="AN330" s="61">
        <f t="shared" si="608"/>
        <v>0</v>
      </c>
      <c r="AO330" s="62">
        <f t="shared" si="609"/>
        <v>0</v>
      </c>
      <c r="AQ330" s="117"/>
      <c r="AR330" s="117"/>
      <c r="AS330" s="117"/>
      <c r="AT330" s="118"/>
      <c r="AU330" s="117"/>
      <c r="AV330" s="117"/>
      <c r="AW330" s="117">
        <f>AV330-Z330</f>
        <v>0</v>
      </c>
      <c r="AX330" s="76">
        <f>AT330-Z330</f>
        <v>0</v>
      </c>
      <c r="AY330" s="76">
        <f>AT330-AL330</f>
        <v>0</v>
      </c>
      <c r="BE330" s="117"/>
      <c r="BF330" s="117"/>
      <c r="BG330" s="78">
        <f>BE330-AV330</f>
        <v>0</v>
      </c>
      <c r="BH330" s="117"/>
      <c r="BI330" s="78">
        <f>BF330-AV330</f>
        <v>0</v>
      </c>
      <c r="BJ330" s="78">
        <f>BF330-AU330</f>
        <v>0</v>
      </c>
      <c r="BK330" s="117"/>
      <c r="BL330" s="79">
        <f>BK330-BH330</f>
        <v>0</v>
      </c>
      <c r="BM330" s="79">
        <f>BK330-AV330</f>
        <v>0</v>
      </c>
      <c r="BN330" s="32"/>
      <c r="BO330" s="32"/>
      <c r="BP330" s="117"/>
      <c r="BQ330" s="31">
        <f t="shared" si="611"/>
        <v>0</v>
      </c>
      <c r="BR330" s="31">
        <f t="shared" si="612"/>
        <v>0</v>
      </c>
      <c r="BS330" s="32"/>
      <c r="BT330" s="32"/>
      <c r="BU330" s="33"/>
      <c r="BV330" s="34">
        <f t="shared" si="613"/>
        <v>0</v>
      </c>
      <c r="BY330" s="82"/>
      <c r="BZ330" s="82"/>
      <c r="CC330" s="37"/>
      <c r="CD330" s="117"/>
    </row>
    <row r="331" spans="1:82" s="77" customFormat="1" ht="18" hidden="1" customHeight="1" x14ac:dyDescent="0.25">
      <c r="A331" s="99" t="s">
        <v>58</v>
      </c>
      <c r="B331" s="100"/>
      <c r="C331" s="101"/>
      <c r="D331" s="93"/>
      <c r="E331" s="98"/>
      <c r="F331" s="121" t="s">
        <v>810</v>
      </c>
      <c r="G331" s="115">
        <v>0</v>
      </c>
      <c r="H331" s="115">
        <v>0</v>
      </c>
      <c r="I331" s="115">
        <v>0</v>
      </c>
      <c r="J331" s="65"/>
      <c r="K331" s="115">
        <v>0</v>
      </c>
      <c r="L331" s="115"/>
      <c r="M331" s="115"/>
      <c r="N331" s="115"/>
      <c r="O331" s="115"/>
      <c r="P331" s="115">
        <f t="shared" si="618"/>
        <v>0</v>
      </c>
      <c r="Q331" s="115"/>
      <c r="R331" s="115"/>
      <c r="S331" s="115"/>
      <c r="T331" s="115">
        <f t="shared" si="598"/>
        <v>0</v>
      </c>
      <c r="U331" s="107">
        <f t="shared" si="599"/>
        <v>0</v>
      </c>
      <c r="V331" s="115">
        <f t="shared" si="600"/>
        <v>0</v>
      </c>
      <c r="W331" s="116"/>
      <c r="X331" s="109"/>
      <c r="Y331" s="24">
        <f t="shared" si="601"/>
        <v>0</v>
      </c>
      <c r="Z331" s="117"/>
      <c r="AA331" s="110">
        <f>Z331-I331</f>
        <v>0</v>
      </c>
      <c r="AB331" s="110">
        <f>Z331-S331</f>
        <v>0</v>
      </c>
      <c r="AC331" s="72"/>
      <c r="AD331" s="72"/>
      <c r="AE331" s="72"/>
      <c r="AF331" s="72"/>
      <c r="AG331" s="72"/>
      <c r="AH331" s="117"/>
      <c r="AI331" s="117"/>
      <c r="AJ331" s="117">
        <f>AH331-Z331</f>
        <v>0</v>
      </c>
      <c r="AK331" s="118"/>
      <c r="AL331" s="117"/>
      <c r="AM331" s="27">
        <f t="shared" si="607"/>
        <v>0</v>
      </c>
      <c r="AN331" s="61">
        <f t="shared" si="608"/>
        <v>0</v>
      </c>
      <c r="AO331" s="62">
        <f t="shared" si="609"/>
        <v>0</v>
      </c>
      <c r="AQ331" s="117"/>
      <c r="AR331" s="117"/>
      <c r="AS331" s="117"/>
      <c r="AT331" s="118"/>
      <c r="AU331" s="117"/>
      <c r="AV331" s="117"/>
      <c r="AW331" s="117">
        <f>AV331-Z331</f>
        <v>0</v>
      </c>
      <c r="AX331" s="76">
        <f>AT331-Z331</f>
        <v>0</v>
      </c>
      <c r="AY331" s="76">
        <f>AT331-AL331</f>
        <v>0</v>
      </c>
      <c r="BE331" s="117"/>
      <c r="BF331" s="117"/>
      <c r="BG331" s="78">
        <f>BE331-AV331</f>
        <v>0</v>
      </c>
      <c r="BH331" s="117"/>
      <c r="BI331" s="78">
        <f>BF331-AV331</f>
        <v>0</v>
      </c>
      <c r="BJ331" s="78">
        <f>BF331-AU331</f>
        <v>0</v>
      </c>
      <c r="BK331" s="117"/>
      <c r="BL331" s="79">
        <f>BK331-BH331</f>
        <v>0</v>
      </c>
      <c r="BM331" s="79">
        <f>BK331-AV331</f>
        <v>0</v>
      </c>
      <c r="BN331" s="32"/>
      <c r="BO331" s="32"/>
      <c r="BP331" s="117"/>
      <c r="BQ331" s="31">
        <f t="shared" si="611"/>
        <v>0</v>
      </c>
      <c r="BR331" s="31">
        <f t="shared" si="612"/>
        <v>0</v>
      </c>
      <c r="BS331" s="32"/>
      <c r="BT331" s="32"/>
      <c r="BU331" s="33"/>
      <c r="BV331" s="34">
        <f t="shared" si="613"/>
        <v>0</v>
      </c>
      <c r="BY331" s="82"/>
      <c r="BZ331" s="82"/>
      <c r="CC331" s="37"/>
      <c r="CD331" s="117"/>
    </row>
    <row r="332" spans="1:82" s="77" customFormat="1" ht="18" hidden="1" customHeight="1" x14ac:dyDescent="0.25">
      <c r="A332" s="99" t="s">
        <v>58</v>
      </c>
      <c r="B332" s="100"/>
      <c r="C332" s="101"/>
      <c r="D332" s="93"/>
      <c r="E332" s="98"/>
      <c r="F332" s="121" t="s">
        <v>811</v>
      </c>
      <c r="G332" s="115">
        <v>0</v>
      </c>
      <c r="H332" s="115">
        <v>0</v>
      </c>
      <c r="I332" s="115">
        <v>0</v>
      </c>
      <c r="J332" s="65"/>
      <c r="K332" s="115">
        <v>0</v>
      </c>
      <c r="L332" s="115"/>
      <c r="M332" s="115"/>
      <c r="N332" s="115"/>
      <c r="O332" s="115"/>
      <c r="P332" s="115">
        <f t="shared" si="618"/>
        <v>0</v>
      </c>
      <c r="Q332" s="115"/>
      <c r="R332" s="115"/>
      <c r="S332" s="115"/>
      <c r="T332" s="115">
        <f t="shared" si="598"/>
        <v>0</v>
      </c>
      <c r="U332" s="107">
        <f t="shared" si="599"/>
        <v>0</v>
      </c>
      <c r="V332" s="115">
        <f t="shared" si="600"/>
        <v>0</v>
      </c>
      <c r="W332" s="116"/>
      <c r="X332" s="109"/>
      <c r="Y332" s="24">
        <f t="shared" si="601"/>
        <v>0</v>
      </c>
      <c r="Z332" s="117"/>
      <c r="AA332" s="110">
        <f>Z332-I332</f>
        <v>0</v>
      </c>
      <c r="AB332" s="110">
        <f>Z332-S332</f>
        <v>0</v>
      </c>
      <c r="AC332" s="72"/>
      <c r="AD332" s="72"/>
      <c r="AE332" s="72"/>
      <c r="AF332" s="72"/>
      <c r="AG332" s="72"/>
      <c r="AH332" s="117"/>
      <c r="AI332" s="117"/>
      <c r="AJ332" s="117">
        <f>AH332-Z332</f>
        <v>0</v>
      </c>
      <c r="AK332" s="118"/>
      <c r="AL332" s="117"/>
      <c r="AM332" s="27">
        <f t="shared" si="607"/>
        <v>0</v>
      </c>
      <c r="AN332" s="61">
        <f t="shared" si="608"/>
        <v>0</v>
      </c>
      <c r="AO332" s="62">
        <f t="shared" si="609"/>
        <v>0</v>
      </c>
      <c r="AQ332" s="117"/>
      <c r="AR332" s="117"/>
      <c r="AS332" s="117"/>
      <c r="AT332" s="118"/>
      <c r="AU332" s="117"/>
      <c r="AV332" s="117"/>
      <c r="AW332" s="117">
        <f>AV332-Z332</f>
        <v>0</v>
      </c>
      <c r="AX332" s="76">
        <f>AT332-Z332</f>
        <v>0</v>
      </c>
      <c r="AY332" s="76">
        <f>AT332-AL332</f>
        <v>0</v>
      </c>
      <c r="BE332" s="117"/>
      <c r="BF332" s="117"/>
      <c r="BG332" s="78">
        <f>BE332-AV332</f>
        <v>0</v>
      </c>
      <c r="BH332" s="117"/>
      <c r="BI332" s="78">
        <f>BF332-AV332</f>
        <v>0</v>
      </c>
      <c r="BJ332" s="78">
        <f>BF332-AU332</f>
        <v>0</v>
      </c>
      <c r="BK332" s="117"/>
      <c r="BL332" s="79">
        <f>BK332-BH332</f>
        <v>0</v>
      </c>
      <c r="BM332" s="79">
        <f>BK332-AV332</f>
        <v>0</v>
      </c>
      <c r="BN332" s="32"/>
      <c r="BO332" s="32"/>
      <c r="BP332" s="117"/>
      <c r="BQ332" s="31">
        <f t="shared" si="611"/>
        <v>0</v>
      </c>
      <c r="BR332" s="31">
        <f t="shared" si="612"/>
        <v>0</v>
      </c>
      <c r="BS332" s="32"/>
      <c r="BT332" s="32"/>
      <c r="BU332" s="33"/>
      <c r="BV332" s="34">
        <f t="shared" si="613"/>
        <v>0</v>
      </c>
      <c r="BY332" s="82"/>
      <c r="BZ332" s="82"/>
      <c r="CC332" s="37"/>
      <c r="CD332" s="117"/>
    </row>
    <row r="333" spans="1:82" s="35" customFormat="1" ht="18" customHeight="1" x14ac:dyDescent="0.25">
      <c r="A333" s="99" t="s">
        <v>58</v>
      </c>
      <c r="B333" s="100"/>
      <c r="C333" s="119" t="s">
        <v>812</v>
      </c>
      <c r="D333" s="119"/>
      <c r="E333" s="120"/>
      <c r="F333" s="40"/>
      <c r="G333" s="20">
        <v>0</v>
      </c>
      <c r="H333" s="20">
        <v>-6310</v>
      </c>
      <c r="I333" s="20">
        <f t="shared" ref="I333:Q333" si="623">I334+I342</f>
        <v>6300</v>
      </c>
      <c r="J333" s="20" t="e">
        <f t="shared" si="623"/>
        <v>#VALUE!</v>
      </c>
      <c r="K333" s="20">
        <f t="shared" si="623"/>
        <v>5155.25</v>
      </c>
      <c r="L333" s="20">
        <f t="shared" si="623"/>
        <v>0.05</v>
      </c>
      <c r="M333" s="20">
        <f t="shared" si="623"/>
        <v>3200.05</v>
      </c>
      <c r="N333" s="20">
        <f t="shared" si="623"/>
        <v>6404.05</v>
      </c>
      <c r="O333" s="20">
        <f t="shared" si="623"/>
        <v>6404.05</v>
      </c>
      <c r="P333" s="20">
        <f t="shared" si="623"/>
        <v>105.05</v>
      </c>
      <c r="Q333" s="20">
        <f t="shared" si="623"/>
        <v>0.05</v>
      </c>
      <c r="R333" s="20"/>
      <c r="S333" s="20">
        <f>S334+S342</f>
        <v>5600.14</v>
      </c>
      <c r="T333" s="20">
        <f t="shared" si="598"/>
        <v>-699.85999999999967</v>
      </c>
      <c r="U333" s="21">
        <f t="shared" si="599"/>
        <v>444.89000000000033</v>
      </c>
      <c r="V333" s="20">
        <f t="shared" si="600"/>
        <v>-803.90999999999985</v>
      </c>
      <c r="W333" s="22"/>
      <c r="X333" s="23">
        <f>X334+X342</f>
        <v>4615.62</v>
      </c>
      <c r="Y333" s="24">
        <f t="shared" si="601"/>
        <v>-984.52000000000044</v>
      </c>
      <c r="Z333" s="25">
        <f t="shared" ref="Z333:AL333" si="624">Z334+Z342</f>
        <v>0</v>
      </c>
      <c r="AA333" s="25">
        <f t="shared" si="624"/>
        <v>-6300</v>
      </c>
      <c r="AB333" s="25">
        <f t="shared" si="624"/>
        <v>-5600.14</v>
      </c>
      <c r="AC333" s="25">
        <f t="shared" si="624"/>
        <v>0</v>
      </c>
      <c r="AD333" s="25">
        <f t="shared" si="624"/>
        <v>0</v>
      </c>
      <c r="AE333" s="25">
        <f t="shared" si="624"/>
        <v>0</v>
      </c>
      <c r="AF333" s="25">
        <f t="shared" si="624"/>
        <v>0</v>
      </c>
      <c r="AG333" s="25">
        <f t="shared" si="624"/>
        <v>0</v>
      </c>
      <c r="AH333" s="25">
        <f t="shared" si="624"/>
        <v>0</v>
      </c>
      <c r="AI333" s="25">
        <f t="shared" si="624"/>
        <v>0</v>
      </c>
      <c r="AJ333" s="25">
        <f t="shared" si="624"/>
        <v>0</v>
      </c>
      <c r="AK333" s="26">
        <f t="shared" si="624"/>
        <v>0</v>
      </c>
      <c r="AL333" s="25">
        <f t="shared" si="624"/>
        <v>-0.39</v>
      </c>
      <c r="AM333" s="27">
        <f t="shared" si="607"/>
        <v>-0.39</v>
      </c>
      <c r="AN333" s="61">
        <f t="shared" si="608"/>
        <v>-0.39</v>
      </c>
      <c r="AO333" s="61">
        <f t="shared" si="608"/>
        <v>6299.61</v>
      </c>
      <c r="AP333" s="61">
        <f t="shared" si="608"/>
        <v>5599.75</v>
      </c>
      <c r="AQ333" s="61">
        <f t="shared" si="608"/>
        <v>6299.61</v>
      </c>
      <c r="AR333" s="61">
        <f t="shared" si="608"/>
        <v>5599.75</v>
      </c>
      <c r="AS333" s="61">
        <f t="shared" si="608"/>
        <v>6299.61</v>
      </c>
      <c r="AT333" s="60">
        <f t="shared" ref="AT333:BP333" si="625">AT334</f>
        <v>0</v>
      </c>
      <c r="AU333" s="220">
        <f t="shared" si="625"/>
        <v>-0.39</v>
      </c>
      <c r="AV333" s="220">
        <f t="shared" si="625"/>
        <v>0</v>
      </c>
      <c r="AW333" s="220">
        <f t="shared" si="625"/>
        <v>0</v>
      </c>
      <c r="AX333" s="220">
        <f t="shared" si="625"/>
        <v>0</v>
      </c>
      <c r="AY333" s="220">
        <f t="shared" si="625"/>
        <v>0.78</v>
      </c>
      <c r="AZ333" s="220">
        <f t="shared" si="625"/>
        <v>0</v>
      </c>
      <c r="BA333" s="220">
        <f t="shared" si="625"/>
        <v>0</v>
      </c>
      <c r="BB333" s="220">
        <f t="shared" si="625"/>
        <v>0</v>
      </c>
      <c r="BC333" s="220">
        <f t="shared" si="625"/>
        <v>0</v>
      </c>
      <c r="BD333" s="220">
        <f t="shared" si="625"/>
        <v>0</v>
      </c>
      <c r="BE333" s="220">
        <f t="shared" si="625"/>
        <v>0</v>
      </c>
      <c r="BF333" s="220">
        <f t="shared" si="625"/>
        <v>-185.75</v>
      </c>
      <c r="BG333" s="220">
        <f t="shared" si="625"/>
        <v>0</v>
      </c>
      <c r="BH333" s="220">
        <f t="shared" si="625"/>
        <v>-185.75</v>
      </c>
      <c r="BI333" s="220">
        <f t="shared" si="625"/>
        <v>-185.75</v>
      </c>
      <c r="BJ333" s="220">
        <f t="shared" si="625"/>
        <v>-185.36</v>
      </c>
      <c r="BK333" s="220">
        <f t="shared" si="625"/>
        <v>-185.75</v>
      </c>
      <c r="BL333" s="220">
        <f t="shared" si="625"/>
        <v>0</v>
      </c>
      <c r="BM333" s="220">
        <f t="shared" si="625"/>
        <v>-185.75</v>
      </c>
      <c r="BN333" s="220">
        <f t="shared" si="625"/>
        <v>0</v>
      </c>
      <c r="BO333" s="220">
        <f t="shared" si="625"/>
        <v>0</v>
      </c>
      <c r="BP333" s="220">
        <f t="shared" si="625"/>
        <v>-185.75</v>
      </c>
      <c r="BQ333" s="31">
        <f t="shared" si="611"/>
        <v>0</v>
      </c>
      <c r="BR333" s="31">
        <f t="shared" si="612"/>
        <v>-185.75</v>
      </c>
      <c r="BS333" s="32"/>
      <c r="BT333" s="32"/>
      <c r="BU333" s="33"/>
      <c r="BV333" s="34">
        <f t="shared" si="613"/>
        <v>-185.75</v>
      </c>
      <c r="BY333" s="36"/>
      <c r="BZ333" s="36"/>
      <c r="CC333" s="37"/>
      <c r="CD333" s="220">
        <f>CD334</f>
        <v>-0.39</v>
      </c>
    </row>
    <row r="334" spans="1:82" s="77" customFormat="1" ht="18" customHeight="1" x14ac:dyDescent="0.25">
      <c r="A334" s="38" t="s">
        <v>58</v>
      </c>
      <c r="B334" s="39"/>
      <c r="C334" s="93"/>
      <c r="D334" s="93" t="s">
        <v>813</v>
      </c>
      <c r="E334" s="103"/>
      <c r="F334" s="104"/>
      <c r="G334" s="46">
        <v>0</v>
      </c>
      <c r="H334" s="46">
        <v>-6310</v>
      </c>
      <c r="I334" s="46">
        <f t="shared" ref="I334:Q334" si="626">I335+I337+I339</f>
        <v>6300</v>
      </c>
      <c r="J334" s="46" t="e">
        <f t="shared" si="626"/>
        <v>#VALUE!</v>
      </c>
      <c r="K334" s="46">
        <f t="shared" si="626"/>
        <v>5155.25</v>
      </c>
      <c r="L334" s="46">
        <f t="shared" si="626"/>
        <v>0.05</v>
      </c>
      <c r="M334" s="46">
        <f t="shared" si="626"/>
        <v>3200.05</v>
      </c>
      <c r="N334" s="46">
        <f t="shared" si="626"/>
        <v>6404.05</v>
      </c>
      <c r="O334" s="46">
        <f t="shared" si="626"/>
        <v>6404.05</v>
      </c>
      <c r="P334" s="46">
        <f t="shared" si="626"/>
        <v>104.05</v>
      </c>
      <c r="Q334" s="46">
        <f t="shared" si="626"/>
        <v>0.05</v>
      </c>
      <c r="R334" s="46"/>
      <c r="S334" s="46">
        <f>S335+S337+S339</f>
        <v>5600.14</v>
      </c>
      <c r="T334" s="46">
        <f t="shared" si="598"/>
        <v>-699.85999999999967</v>
      </c>
      <c r="U334" s="21">
        <f t="shared" si="599"/>
        <v>444.89000000000033</v>
      </c>
      <c r="V334" s="46">
        <f t="shared" si="600"/>
        <v>-803.90999999999985</v>
      </c>
      <c r="W334" s="47"/>
      <c r="X334" s="23">
        <f>X335+X337+X339</f>
        <v>4615.62</v>
      </c>
      <c r="Y334" s="24">
        <f t="shared" si="601"/>
        <v>-984.52000000000044</v>
      </c>
      <c r="Z334" s="48">
        <f t="shared" ref="Z334:AL334" si="627">Z335+Z337+Z339</f>
        <v>0</v>
      </c>
      <c r="AA334" s="48">
        <f t="shared" si="627"/>
        <v>-6300</v>
      </c>
      <c r="AB334" s="48">
        <f t="shared" si="627"/>
        <v>-5600.14</v>
      </c>
      <c r="AC334" s="48">
        <f t="shared" si="627"/>
        <v>0</v>
      </c>
      <c r="AD334" s="48">
        <f t="shared" si="627"/>
        <v>0</v>
      </c>
      <c r="AE334" s="48">
        <f t="shared" si="627"/>
        <v>0</v>
      </c>
      <c r="AF334" s="48">
        <f t="shared" si="627"/>
        <v>0</v>
      </c>
      <c r="AG334" s="48">
        <f t="shared" si="627"/>
        <v>0</v>
      </c>
      <c r="AH334" s="48">
        <f t="shared" si="627"/>
        <v>0</v>
      </c>
      <c r="AI334" s="48">
        <f t="shared" si="627"/>
        <v>0</v>
      </c>
      <c r="AJ334" s="48">
        <f t="shared" si="627"/>
        <v>0</v>
      </c>
      <c r="AK334" s="49">
        <f t="shared" si="627"/>
        <v>0</v>
      </c>
      <c r="AL334" s="48">
        <f t="shared" si="627"/>
        <v>-0.39</v>
      </c>
      <c r="AM334" s="27">
        <f t="shared" si="607"/>
        <v>-0.39</v>
      </c>
      <c r="AN334" s="61">
        <f t="shared" si="608"/>
        <v>-0.39</v>
      </c>
      <c r="AO334" s="61">
        <f t="shared" si="608"/>
        <v>6299.61</v>
      </c>
      <c r="AP334" s="61">
        <f t="shared" si="608"/>
        <v>5599.75</v>
      </c>
      <c r="AQ334" s="61">
        <f t="shared" si="608"/>
        <v>6299.61</v>
      </c>
      <c r="AR334" s="61">
        <f t="shared" si="608"/>
        <v>5599.75</v>
      </c>
      <c r="AS334" s="61">
        <f t="shared" si="608"/>
        <v>6299.61</v>
      </c>
      <c r="AT334" s="60">
        <f t="shared" ref="AT334:BP334" si="628">AT339</f>
        <v>0</v>
      </c>
      <c r="AU334" s="33">
        <f t="shared" si="628"/>
        <v>-0.39</v>
      </c>
      <c r="AV334" s="33">
        <f t="shared" si="628"/>
        <v>0</v>
      </c>
      <c r="AW334" s="33">
        <f t="shared" si="628"/>
        <v>0</v>
      </c>
      <c r="AX334" s="33">
        <f t="shared" si="628"/>
        <v>0</v>
      </c>
      <c r="AY334" s="33">
        <f t="shared" si="628"/>
        <v>0.78</v>
      </c>
      <c r="AZ334" s="33">
        <f t="shared" si="628"/>
        <v>0</v>
      </c>
      <c r="BA334" s="33">
        <f t="shared" si="628"/>
        <v>0</v>
      </c>
      <c r="BB334" s="33">
        <f t="shared" si="628"/>
        <v>0</v>
      </c>
      <c r="BC334" s="33">
        <f t="shared" si="628"/>
        <v>0</v>
      </c>
      <c r="BD334" s="33">
        <f t="shared" si="628"/>
        <v>0</v>
      </c>
      <c r="BE334" s="33">
        <f t="shared" si="628"/>
        <v>0</v>
      </c>
      <c r="BF334" s="33">
        <f t="shared" si="628"/>
        <v>-185.75</v>
      </c>
      <c r="BG334" s="33">
        <f t="shared" si="628"/>
        <v>0</v>
      </c>
      <c r="BH334" s="33">
        <f t="shared" si="628"/>
        <v>-185.75</v>
      </c>
      <c r="BI334" s="33">
        <f t="shared" si="628"/>
        <v>-185.75</v>
      </c>
      <c r="BJ334" s="33">
        <f t="shared" si="628"/>
        <v>-185.36</v>
      </c>
      <c r="BK334" s="33">
        <f t="shared" si="628"/>
        <v>-185.75</v>
      </c>
      <c r="BL334" s="33">
        <f t="shared" si="628"/>
        <v>0</v>
      </c>
      <c r="BM334" s="33">
        <f t="shared" si="628"/>
        <v>-185.75</v>
      </c>
      <c r="BN334" s="33">
        <f t="shared" si="628"/>
        <v>0</v>
      </c>
      <c r="BO334" s="33">
        <f t="shared" si="628"/>
        <v>0</v>
      </c>
      <c r="BP334" s="33">
        <f t="shared" si="628"/>
        <v>-185.75</v>
      </c>
      <c r="BQ334" s="31">
        <f t="shared" si="611"/>
        <v>0</v>
      </c>
      <c r="BR334" s="31">
        <f t="shared" si="612"/>
        <v>-185.75</v>
      </c>
      <c r="BS334" s="32"/>
      <c r="BT334" s="32"/>
      <c r="BU334" s="33"/>
      <c r="BV334" s="34">
        <f t="shared" si="613"/>
        <v>-185.75</v>
      </c>
      <c r="BY334" s="82"/>
      <c r="BZ334" s="82"/>
      <c r="CC334" s="37"/>
      <c r="CD334" s="33">
        <f>CD339</f>
        <v>-0.39</v>
      </c>
    </row>
    <row r="335" spans="1:82" s="77" customFormat="1" ht="18" hidden="1" customHeight="1" x14ac:dyDescent="0.25">
      <c r="A335" s="99" t="s">
        <v>58</v>
      </c>
      <c r="B335" s="100"/>
      <c r="C335" s="101"/>
      <c r="D335" s="93"/>
      <c r="E335" s="98" t="s">
        <v>814</v>
      </c>
      <c r="F335" s="105"/>
      <c r="G335" s="55">
        <v>0</v>
      </c>
      <c r="H335" s="55">
        <v>0</v>
      </c>
      <c r="I335" s="55">
        <v>0</v>
      </c>
      <c r="J335" s="55">
        <v>0</v>
      </c>
      <c r="K335" s="55">
        <v>0</v>
      </c>
      <c r="L335" s="55">
        <v>0</v>
      </c>
      <c r="M335" s="55">
        <v>0</v>
      </c>
      <c r="N335" s="55">
        <v>0</v>
      </c>
      <c r="O335" s="55">
        <v>0</v>
      </c>
      <c r="P335" s="55">
        <v>0</v>
      </c>
      <c r="Q335" s="55">
        <v>0</v>
      </c>
      <c r="R335" s="55"/>
      <c r="S335" s="55"/>
      <c r="T335" s="55">
        <f t="shared" si="598"/>
        <v>0</v>
      </c>
      <c r="U335" s="56">
        <f t="shared" si="599"/>
        <v>0</v>
      </c>
      <c r="V335" s="55">
        <f t="shared" si="600"/>
        <v>0</v>
      </c>
      <c r="W335" s="57"/>
      <c r="X335" s="58"/>
      <c r="Y335" s="24">
        <f t="shared" si="601"/>
        <v>0</v>
      </c>
      <c r="Z335" s="33"/>
      <c r="AA335" s="110">
        <f>Z335-I335</f>
        <v>0</v>
      </c>
      <c r="AB335" s="110">
        <f>Z335-S335</f>
        <v>0</v>
      </c>
      <c r="AC335" s="72"/>
      <c r="AD335" s="72"/>
      <c r="AE335" s="72"/>
      <c r="AF335" s="72"/>
      <c r="AG335" s="72"/>
      <c r="AH335" s="33"/>
      <c r="AI335" s="33"/>
      <c r="AJ335" s="33">
        <f>AH335-Z335</f>
        <v>0</v>
      </c>
      <c r="AK335" s="60"/>
      <c r="AL335" s="33"/>
      <c r="AM335" s="27">
        <f t="shared" si="607"/>
        <v>0</v>
      </c>
      <c r="AN335" s="61">
        <f t="shared" si="608"/>
        <v>0</v>
      </c>
      <c r="AO335" s="61">
        <f t="shared" si="608"/>
        <v>0</v>
      </c>
      <c r="AP335" s="61">
        <f t="shared" si="608"/>
        <v>0</v>
      </c>
      <c r="AQ335" s="61">
        <f t="shared" si="608"/>
        <v>0</v>
      </c>
      <c r="AR335" s="61">
        <f t="shared" si="608"/>
        <v>0</v>
      </c>
      <c r="AS335" s="61">
        <f t="shared" si="608"/>
        <v>0</v>
      </c>
      <c r="AT335" s="60"/>
      <c r="AU335" s="33"/>
      <c r="AV335" s="33"/>
      <c r="AW335" s="33"/>
      <c r="AX335" s="33"/>
      <c r="AY335" s="33"/>
      <c r="AZ335" s="33"/>
      <c r="BA335" s="33"/>
      <c r="BB335" s="33"/>
      <c r="BC335" s="33"/>
      <c r="BD335" s="33"/>
      <c r="BE335" s="33"/>
      <c r="BF335" s="33"/>
      <c r="BG335" s="33"/>
      <c r="BH335" s="33"/>
      <c r="BI335" s="33"/>
      <c r="BJ335" s="33"/>
      <c r="BK335" s="33"/>
      <c r="BL335" s="33"/>
      <c r="BM335" s="33"/>
      <c r="BN335" s="33"/>
      <c r="BO335" s="33"/>
      <c r="BP335" s="33"/>
      <c r="BQ335" s="31">
        <f t="shared" si="611"/>
        <v>0</v>
      </c>
      <c r="BR335" s="31">
        <f t="shared" si="612"/>
        <v>0</v>
      </c>
      <c r="BS335" s="32"/>
      <c r="BT335" s="32"/>
      <c r="BU335" s="33"/>
      <c r="BV335" s="34">
        <f t="shared" si="613"/>
        <v>0</v>
      </c>
      <c r="BY335" s="82"/>
      <c r="BZ335" s="82"/>
      <c r="CC335" s="37"/>
      <c r="CD335" s="33"/>
    </row>
    <row r="336" spans="1:82" s="77" customFormat="1" ht="18" hidden="1" customHeight="1" x14ac:dyDescent="0.25">
      <c r="A336" s="99" t="s">
        <v>58</v>
      </c>
      <c r="B336" s="100"/>
      <c r="C336" s="101"/>
      <c r="D336" s="93"/>
      <c r="E336" s="98"/>
      <c r="F336" s="121" t="s">
        <v>814</v>
      </c>
      <c r="G336" s="115">
        <v>0</v>
      </c>
      <c r="H336" s="115">
        <v>0</v>
      </c>
      <c r="I336" s="115">
        <v>0</v>
      </c>
      <c r="J336" s="115">
        <v>0</v>
      </c>
      <c r="K336" s="115">
        <v>0</v>
      </c>
      <c r="L336" s="115">
        <v>0</v>
      </c>
      <c r="M336" s="115">
        <v>0</v>
      </c>
      <c r="N336" s="115">
        <v>0</v>
      </c>
      <c r="O336" s="115">
        <v>0</v>
      </c>
      <c r="P336" s="115">
        <v>0</v>
      </c>
      <c r="Q336" s="115">
        <v>0</v>
      </c>
      <c r="R336" s="115"/>
      <c r="S336" s="115"/>
      <c r="T336" s="115">
        <f t="shared" si="598"/>
        <v>0</v>
      </c>
      <c r="U336" s="107">
        <f t="shared" si="599"/>
        <v>0</v>
      </c>
      <c r="V336" s="115">
        <f t="shared" si="600"/>
        <v>0</v>
      </c>
      <c r="W336" s="116"/>
      <c r="X336" s="109"/>
      <c r="Y336" s="24">
        <f t="shared" si="601"/>
        <v>0</v>
      </c>
      <c r="Z336" s="117"/>
      <c r="AA336" s="110">
        <f>Z336-I336</f>
        <v>0</v>
      </c>
      <c r="AB336" s="110">
        <f>Z336-S336</f>
        <v>0</v>
      </c>
      <c r="AC336" s="72"/>
      <c r="AD336" s="72"/>
      <c r="AE336" s="72"/>
      <c r="AF336" s="72"/>
      <c r="AG336" s="72"/>
      <c r="AH336" s="117"/>
      <c r="AI336" s="117"/>
      <c r="AJ336" s="117">
        <f>AH336-Z336</f>
        <v>0</v>
      </c>
      <c r="AK336" s="118"/>
      <c r="AL336" s="117"/>
      <c r="AM336" s="27">
        <f t="shared" si="607"/>
        <v>0</v>
      </c>
      <c r="AN336" s="61">
        <f t="shared" si="608"/>
        <v>0</v>
      </c>
      <c r="AO336" s="61">
        <f t="shared" si="608"/>
        <v>0</v>
      </c>
      <c r="AP336" s="61">
        <f t="shared" si="608"/>
        <v>0</v>
      </c>
      <c r="AQ336" s="61">
        <f t="shared" si="608"/>
        <v>0</v>
      </c>
      <c r="AR336" s="61">
        <f t="shared" si="608"/>
        <v>0</v>
      </c>
      <c r="AS336" s="61">
        <f t="shared" si="608"/>
        <v>0</v>
      </c>
      <c r="AT336" s="60"/>
      <c r="AU336" s="33"/>
      <c r="AV336" s="33"/>
      <c r="AW336" s="33"/>
      <c r="AX336" s="33"/>
      <c r="AY336" s="33"/>
      <c r="AZ336" s="33"/>
      <c r="BA336" s="33"/>
      <c r="BB336" s="33"/>
      <c r="BC336" s="33"/>
      <c r="BD336" s="33"/>
      <c r="BE336" s="33"/>
      <c r="BF336" s="33"/>
      <c r="BG336" s="33"/>
      <c r="BH336" s="33"/>
      <c r="BI336" s="33"/>
      <c r="BJ336" s="33"/>
      <c r="BK336" s="33"/>
      <c r="BL336" s="33"/>
      <c r="BM336" s="33"/>
      <c r="BN336" s="33"/>
      <c r="BO336" s="33"/>
      <c r="BP336" s="33"/>
      <c r="BQ336" s="31">
        <f t="shared" si="611"/>
        <v>0</v>
      </c>
      <c r="BR336" s="31">
        <f t="shared" si="612"/>
        <v>0</v>
      </c>
      <c r="BS336" s="32"/>
      <c r="BT336" s="32"/>
      <c r="BU336" s="33"/>
      <c r="BV336" s="34">
        <f t="shared" si="613"/>
        <v>0</v>
      </c>
      <c r="BY336" s="82"/>
      <c r="BZ336" s="82"/>
      <c r="CC336" s="37"/>
      <c r="CD336" s="33"/>
    </row>
    <row r="337" spans="1:82" s="77" customFormat="1" ht="18" hidden="1" customHeight="1" x14ac:dyDescent="0.25">
      <c r="A337" s="99" t="s">
        <v>58</v>
      </c>
      <c r="B337" s="100"/>
      <c r="C337" s="101"/>
      <c r="D337" s="93"/>
      <c r="E337" s="98" t="s">
        <v>815</v>
      </c>
      <c r="F337" s="105"/>
      <c r="G337" s="55">
        <v>0</v>
      </c>
      <c r="H337" s="55">
        <v>-6300</v>
      </c>
      <c r="I337" s="55">
        <f t="shared" ref="I337:Q337" si="629">I338</f>
        <v>6300</v>
      </c>
      <c r="J337" s="55" t="str">
        <f t="shared" si="629"/>
        <v xml:space="preserve">                    Interessi passivi bancari</v>
      </c>
      <c r="K337" s="55">
        <f t="shared" si="629"/>
        <v>5148.1099999999997</v>
      </c>
      <c r="L337" s="55">
        <f t="shared" si="629"/>
        <v>0</v>
      </c>
      <c r="M337" s="55">
        <f t="shared" si="629"/>
        <v>3200</v>
      </c>
      <c r="N337" s="55">
        <f t="shared" si="629"/>
        <v>6404</v>
      </c>
      <c r="O337" s="55">
        <f t="shared" si="629"/>
        <v>6404</v>
      </c>
      <c r="P337" s="55">
        <f t="shared" si="629"/>
        <v>104</v>
      </c>
      <c r="Q337" s="55">
        <f t="shared" si="629"/>
        <v>0</v>
      </c>
      <c r="R337" s="55"/>
      <c r="S337" s="55">
        <f>S338</f>
        <v>5600.09</v>
      </c>
      <c r="T337" s="55">
        <f t="shared" si="598"/>
        <v>-699.90999999999985</v>
      </c>
      <c r="U337" s="56">
        <f t="shared" si="599"/>
        <v>451.98000000000047</v>
      </c>
      <c r="V337" s="55">
        <f t="shared" si="600"/>
        <v>-803.90999999999985</v>
      </c>
      <c r="W337" s="57"/>
      <c r="X337" s="58">
        <f>X338</f>
        <v>4615.57</v>
      </c>
      <c r="Y337" s="24">
        <f t="shared" si="601"/>
        <v>-984.52000000000044</v>
      </c>
      <c r="Z337" s="33">
        <f>Z338</f>
        <v>0</v>
      </c>
      <c r="AA337" s="110">
        <f>Z337-I337</f>
        <v>-6300</v>
      </c>
      <c r="AB337" s="110">
        <f>Z337-S337</f>
        <v>-5600.09</v>
      </c>
      <c r="AC337" s="72"/>
      <c r="AD337" s="72"/>
      <c r="AE337" s="72"/>
      <c r="AF337" s="72"/>
      <c r="AG337" s="72"/>
      <c r="AH337" s="33">
        <f>AH338</f>
        <v>0</v>
      </c>
      <c r="AI337" s="33"/>
      <c r="AJ337" s="33">
        <f>AH337-Z337</f>
        <v>0</v>
      </c>
      <c r="AK337" s="60"/>
      <c r="AL337" s="33"/>
      <c r="AM337" s="27">
        <f t="shared" si="607"/>
        <v>0</v>
      </c>
      <c r="AN337" s="61">
        <f t="shared" si="608"/>
        <v>0</v>
      </c>
      <c r="AO337" s="61">
        <f t="shared" si="608"/>
        <v>6300</v>
      </c>
      <c r="AP337" s="61">
        <f t="shared" si="608"/>
        <v>5600.09</v>
      </c>
      <c r="AQ337" s="61">
        <f t="shared" si="608"/>
        <v>6300</v>
      </c>
      <c r="AR337" s="61">
        <f t="shared" si="608"/>
        <v>5600.09</v>
      </c>
      <c r="AS337" s="61">
        <f t="shared" si="608"/>
        <v>6300</v>
      </c>
      <c r="AT337" s="60"/>
      <c r="AU337" s="33"/>
      <c r="AV337" s="33"/>
      <c r="AW337" s="33"/>
      <c r="AX337" s="33"/>
      <c r="AY337" s="33"/>
      <c r="AZ337" s="33"/>
      <c r="BA337" s="33"/>
      <c r="BB337" s="33"/>
      <c r="BC337" s="33"/>
      <c r="BD337" s="33"/>
      <c r="BE337" s="33"/>
      <c r="BF337" s="33"/>
      <c r="BG337" s="33"/>
      <c r="BH337" s="33"/>
      <c r="BI337" s="33"/>
      <c r="BJ337" s="33"/>
      <c r="BK337" s="33"/>
      <c r="BL337" s="33"/>
      <c r="BM337" s="33"/>
      <c r="BN337" s="33"/>
      <c r="BO337" s="33"/>
      <c r="BP337" s="33"/>
      <c r="BQ337" s="31">
        <f t="shared" si="611"/>
        <v>0</v>
      </c>
      <c r="BR337" s="31">
        <f t="shared" si="612"/>
        <v>0</v>
      </c>
      <c r="BS337" s="32"/>
      <c r="BT337" s="32"/>
      <c r="BU337" s="33"/>
      <c r="BV337" s="34">
        <f t="shared" si="613"/>
        <v>0</v>
      </c>
      <c r="BY337" s="82"/>
      <c r="BZ337" s="82"/>
      <c r="CC337" s="37"/>
      <c r="CD337" s="33"/>
    </row>
    <row r="338" spans="1:82" s="77" customFormat="1" ht="18" hidden="1" customHeight="1" x14ac:dyDescent="0.25">
      <c r="A338" s="99" t="s">
        <v>58</v>
      </c>
      <c r="B338" s="100"/>
      <c r="C338" s="101"/>
      <c r="D338" s="93"/>
      <c r="E338" s="98"/>
      <c r="F338" s="121" t="s">
        <v>815</v>
      </c>
      <c r="G338" s="106">
        <v>0</v>
      </c>
      <c r="H338" s="106">
        <v>-6300</v>
      </c>
      <c r="I338" s="106">
        <v>6300</v>
      </c>
      <c r="J338" s="70" t="s">
        <v>816</v>
      </c>
      <c r="K338" s="106">
        <v>5148.1099999999997</v>
      </c>
      <c r="L338" s="106">
        <v>0</v>
      </c>
      <c r="M338" s="106">
        <v>3200</v>
      </c>
      <c r="N338" s="106">
        <f>3202*2</f>
        <v>6404</v>
      </c>
      <c r="O338" s="106">
        <f>N338</f>
        <v>6404</v>
      </c>
      <c r="P338" s="106">
        <f>N338-I338</f>
        <v>104</v>
      </c>
      <c r="Q338" s="106"/>
      <c r="R338" s="106"/>
      <c r="S338" s="106">
        <f>4600.09+1000</f>
        <v>5600.09</v>
      </c>
      <c r="T338" s="106">
        <v>4600</v>
      </c>
      <c r="U338" s="107">
        <f t="shared" si="599"/>
        <v>451.98000000000047</v>
      </c>
      <c r="V338" s="106">
        <f t="shared" si="600"/>
        <v>-803.90999999999985</v>
      </c>
      <c r="W338" s="108" t="s">
        <v>817</v>
      </c>
      <c r="X338" s="109">
        <v>4615.57</v>
      </c>
      <c r="Y338" s="24">
        <f t="shared" si="601"/>
        <v>-984.52000000000044</v>
      </c>
      <c r="Z338" s="25">
        <v>0</v>
      </c>
      <c r="AA338" s="110">
        <f>Z338-I338</f>
        <v>-6300</v>
      </c>
      <c r="AB338" s="110">
        <f>Z338-S338</f>
        <v>-5600.09</v>
      </c>
      <c r="AC338" s="72"/>
      <c r="AD338" s="72"/>
      <c r="AE338" s="72"/>
      <c r="AF338" s="72"/>
      <c r="AG338" s="72"/>
      <c r="AH338" s="25">
        <v>0</v>
      </c>
      <c r="AI338" s="25"/>
      <c r="AJ338" s="25">
        <f>AH338-Z338</f>
        <v>0</v>
      </c>
      <c r="AK338" s="26"/>
      <c r="AL338" s="25"/>
      <c r="AM338" s="27">
        <f t="shared" si="607"/>
        <v>0</v>
      </c>
      <c r="AN338" s="61">
        <f t="shared" si="608"/>
        <v>0</v>
      </c>
      <c r="AO338" s="61">
        <f t="shared" si="608"/>
        <v>6300</v>
      </c>
      <c r="AP338" s="61">
        <f t="shared" si="608"/>
        <v>5600.09</v>
      </c>
      <c r="AQ338" s="61">
        <f t="shared" si="608"/>
        <v>6300</v>
      </c>
      <c r="AR338" s="61">
        <f t="shared" si="608"/>
        <v>5600.09</v>
      </c>
      <c r="AS338" s="61">
        <f t="shared" si="608"/>
        <v>6300</v>
      </c>
      <c r="AT338" s="60"/>
      <c r="AU338" s="33"/>
      <c r="AV338" s="33"/>
      <c r="AW338" s="33"/>
      <c r="AX338" s="33"/>
      <c r="AY338" s="33"/>
      <c r="AZ338" s="33"/>
      <c r="BA338" s="33"/>
      <c r="BB338" s="33"/>
      <c r="BC338" s="33"/>
      <c r="BD338" s="33"/>
      <c r="BE338" s="33"/>
      <c r="BF338" s="33"/>
      <c r="BG338" s="33"/>
      <c r="BH338" s="33"/>
      <c r="BI338" s="33"/>
      <c r="BJ338" s="33"/>
      <c r="BK338" s="33"/>
      <c r="BL338" s="33"/>
      <c r="BM338" s="33"/>
      <c r="BN338" s="33"/>
      <c r="BO338" s="33"/>
      <c r="BP338" s="33"/>
      <c r="BQ338" s="31">
        <f t="shared" si="611"/>
        <v>0</v>
      </c>
      <c r="BR338" s="31">
        <f t="shared" si="612"/>
        <v>0</v>
      </c>
      <c r="BS338" s="32"/>
      <c r="BT338" s="32"/>
      <c r="BU338" s="33"/>
      <c r="BV338" s="34">
        <f t="shared" si="613"/>
        <v>0</v>
      </c>
      <c r="BY338" s="82"/>
      <c r="BZ338" s="82"/>
      <c r="CC338" s="37"/>
      <c r="CD338" s="33"/>
    </row>
    <row r="339" spans="1:82" s="77" customFormat="1" ht="18" customHeight="1" x14ac:dyDescent="0.25">
      <c r="A339" s="99" t="s">
        <v>58</v>
      </c>
      <c r="B339" s="100"/>
      <c r="C339" s="101"/>
      <c r="D339" s="93"/>
      <c r="E339" s="98" t="s">
        <v>818</v>
      </c>
      <c r="F339" s="105"/>
      <c r="G339" s="55">
        <v>0</v>
      </c>
      <c r="H339" s="55">
        <v>-10</v>
      </c>
      <c r="I339" s="55">
        <f>I341</f>
        <v>0</v>
      </c>
      <c r="J339" s="70" t="s">
        <v>819</v>
      </c>
      <c r="K339" s="55">
        <f t="shared" ref="K339:Q339" si="630">K341</f>
        <v>7.14</v>
      </c>
      <c r="L339" s="55">
        <f t="shared" si="630"/>
        <v>0.05</v>
      </c>
      <c r="M339" s="55">
        <f t="shared" si="630"/>
        <v>0.05</v>
      </c>
      <c r="N339" s="55">
        <f t="shared" si="630"/>
        <v>0.05</v>
      </c>
      <c r="O339" s="55">
        <f t="shared" si="630"/>
        <v>0.05</v>
      </c>
      <c r="P339" s="55">
        <f t="shared" si="630"/>
        <v>0.05</v>
      </c>
      <c r="Q339" s="55">
        <f t="shared" si="630"/>
        <v>0.05</v>
      </c>
      <c r="R339" s="55"/>
      <c r="S339" s="55">
        <f>S341</f>
        <v>0.05</v>
      </c>
      <c r="T339" s="55">
        <f t="shared" ref="T339:T352" si="631">S339-I339</f>
        <v>0.05</v>
      </c>
      <c r="U339" s="56">
        <f t="shared" si="599"/>
        <v>-7.09</v>
      </c>
      <c r="V339" s="55">
        <f t="shared" si="600"/>
        <v>0</v>
      </c>
      <c r="W339" s="57"/>
      <c r="X339" s="58">
        <f>X341</f>
        <v>0.05</v>
      </c>
      <c r="Y339" s="24">
        <f t="shared" si="601"/>
        <v>0</v>
      </c>
      <c r="Z339" s="33">
        <f t="shared" ref="Z339:AL339" si="632">Z341</f>
        <v>0</v>
      </c>
      <c r="AA339" s="33">
        <f t="shared" si="632"/>
        <v>0</v>
      </c>
      <c r="AB339" s="33">
        <f t="shared" si="632"/>
        <v>-0.05</v>
      </c>
      <c r="AC339" s="33">
        <f t="shared" si="632"/>
        <v>0</v>
      </c>
      <c r="AD339" s="33">
        <f t="shared" si="632"/>
        <v>0</v>
      </c>
      <c r="AE339" s="33">
        <f t="shared" si="632"/>
        <v>0</v>
      </c>
      <c r="AF339" s="33">
        <f t="shared" si="632"/>
        <v>0</v>
      </c>
      <c r="AG339" s="33">
        <f t="shared" si="632"/>
        <v>0</v>
      </c>
      <c r="AH339" s="33">
        <f t="shared" si="632"/>
        <v>0</v>
      </c>
      <c r="AI339" s="33">
        <f t="shared" si="632"/>
        <v>0</v>
      </c>
      <c r="AJ339" s="33">
        <f t="shared" si="632"/>
        <v>0</v>
      </c>
      <c r="AK339" s="60">
        <f t="shared" si="632"/>
        <v>0</v>
      </c>
      <c r="AL339" s="33">
        <f t="shared" si="632"/>
        <v>-0.39</v>
      </c>
      <c r="AM339" s="27">
        <f t="shared" si="607"/>
        <v>-0.39</v>
      </c>
      <c r="AN339" s="61">
        <f t="shared" si="608"/>
        <v>-0.39</v>
      </c>
      <c r="AO339" s="61">
        <f t="shared" si="608"/>
        <v>-0.39</v>
      </c>
      <c r="AP339" s="61">
        <f t="shared" si="608"/>
        <v>-0.34</v>
      </c>
      <c r="AQ339" s="61">
        <f t="shared" si="608"/>
        <v>-0.39</v>
      </c>
      <c r="AR339" s="61">
        <f t="shared" si="608"/>
        <v>-0.34</v>
      </c>
      <c r="AS339" s="61">
        <f t="shared" si="608"/>
        <v>-0.39</v>
      </c>
      <c r="AT339" s="60">
        <f>AT341</f>
        <v>0</v>
      </c>
      <c r="AU339" s="33">
        <f t="shared" ref="AU339:BP339" si="633">SUM(AU340:AU341)</f>
        <v>-0.39</v>
      </c>
      <c r="AV339" s="33">
        <f t="shared" si="633"/>
        <v>0</v>
      </c>
      <c r="AW339" s="33">
        <f t="shared" si="633"/>
        <v>0</v>
      </c>
      <c r="AX339" s="33">
        <f t="shared" si="633"/>
        <v>0</v>
      </c>
      <c r="AY339" s="33">
        <f t="shared" si="633"/>
        <v>0.78</v>
      </c>
      <c r="AZ339" s="33">
        <f t="shared" si="633"/>
        <v>0</v>
      </c>
      <c r="BA339" s="33">
        <f t="shared" si="633"/>
        <v>0</v>
      </c>
      <c r="BB339" s="33">
        <f t="shared" si="633"/>
        <v>0</v>
      </c>
      <c r="BC339" s="33">
        <f t="shared" si="633"/>
        <v>0</v>
      </c>
      <c r="BD339" s="33">
        <f t="shared" si="633"/>
        <v>0</v>
      </c>
      <c r="BE339" s="33">
        <f t="shared" si="633"/>
        <v>0</v>
      </c>
      <c r="BF339" s="33">
        <f t="shared" si="633"/>
        <v>-185.75</v>
      </c>
      <c r="BG339" s="33">
        <f t="shared" si="633"/>
        <v>0</v>
      </c>
      <c r="BH339" s="33">
        <f t="shared" si="633"/>
        <v>-185.75</v>
      </c>
      <c r="BI339" s="33">
        <f t="shared" si="633"/>
        <v>-185.75</v>
      </c>
      <c r="BJ339" s="33">
        <f t="shared" si="633"/>
        <v>-185.36</v>
      </c>
      <c r="BK339" s="33">
        <f t="shared" si="633"/>
        <v>-185.75</v>
      </c>
      <c r="BL339" s="33">
        <f t="shared" si="633"/>
        <v>0</v>
      </c>
      <c r="BM339" s="33">
        <f t="shared" si="633"/>
        <v>-185.75</v>
      </c>
      <c r="BN339" s="33">
        <f t="shared" si="633"/>
        <v>0</v>
      </c>
      <c r="BO339" s="33">
        <f t="shared" si="633"/>
        <v>0</v>
      </c>
      <c r="BP339" s="33">
        <f t="shared" si="633"/>
        <v>-185.75</v>
      </c>
      <c r="BQ339" s="31">
        <f t="shared" si="611"/>
        <v>0</v>
      </c>
      <c r="BR339" s="31">
        <f t="shared" si="612"/>
        <v>-185.75</v>
      </c>
      <c r="BS339" s="32"/>
      <c r="BT339" s="32"/>
      <c r="BU339" s="33"/>
      <c r="BV339" s="34">
        <f t="shared" si="613"/>
        <v>-185.75</v>
      </c>
      <c r="BY339" s="82"/>
      <c r="BZ339" s="82"/>
      <c r="CC339" s="37"/>
      <c r="CD339" s="33">
        <f>SUM(CD340:CD341)</f>
        <v>-0.39</v>
      </c>
    </row>
    <row r="340" spans="1:82" s="77" customFormat="1" ht="18" customHeight="1" x14ac:dyDescent="0.25">
      <c r="A340" s="99" t="s">
        <v>58</v>
      </c>
      <c r="B340" s="100"/>
      <c r="C340" s="101"/>
      <c r="D340" s="93"/>
      <c r="E340" s="98"/>
      <c r="F340" s="121" t="s">
        <v>820</v>
      </c>
      <c r="G340" s="106">
        <v>0</v>
      </c>
      <c r="H340" s="106">
        <v>-10</v>
      </c>
      <c r="I340" s="106">
        <v>0</v>
      </c>
      <c r="J340" s="70" t="s">
        <v>821</v>
      </c>
      <c r="K340" s="106">
        <v>7.14</v>
      </c>
      <c r="L340" s="106">
        <v>0.05</v>
      </c>
      <c r="M340" s="106">
        <v>0.05</v>
      </c>
      <c r="N340" s="106">
        <v>0.05</v>
      </c>
      <c r="O340" s="106">
        <v>0.05</v>
      </c>
      <c r="P340" s="106">
        <f>N340-I340</f>
        <v>0.05</v>
      </c>
      <c r="Q340" s="106">
        <v>0.05</v>
      </c>
      <c r="R340" s="106"/>
      <c r="S340" s="106">
        <f>Q340</f>
        <v>0.05</v>
      </c>
      <c r="T340" s="106">
        <f t="shared" si="631"/>
        <v>0.05</v>
      </c>
      <c r="U340" s="107">
        <f t="shared" si="599"/>
        <v>-7.09</v>
      </c>
      <c r="V340" s="106">
        <f t="shared" si="600"/>
        <v>0</v>
      </c>
      <c r="W340" s="108"/>
      <c r="X340" s="109">
        <f>0.05</f>
        <v>0.05</v>
      </c>
      <c r="Y340" s="24">
        <f t="shared" si="601"/>
        <v>0</v>
      </c>
      <c r="Z340" s="85">
        <f>V340</f>
        <v>0</v>
      </c>
      <c r="AA340" s="29">
        <f t="shared" ref="AA340:AA345" si="634">Z340-I340</f>
        <v>0</v>
      </c>
      <c r="AB340" s="29">
        <f t="shared" ref="AB340:AB345" si="635">Z340-S340</f>
        <v>-0.05</v>
      </c>
      <c r="AC340" s="72"/>
      <c r="AD340" s="72"/>
      <c r="AE340" s="72"/>
      <c r="AF340" s="72"/>
      <c r="AG340" s="72"/>
      <c r="AH340" s="85">
        <f>AD340</f>
        <v>0</v>
      </c>
      <c r="AI340" s="85"/>
      <c r="AJ340" s="85">
        <f t="shared" ref="AJ340:AJ345" si="636">AH340-Z340</f>
        <v>0</v>
      </c>
      <c r="AK340" s="86">
        <v>0</v>
      </c>
      <c r="AL340" s="85">
        <v>-0.39</v>
      </c>
      <c r="AM340" s="27">
        <f t="shared" si="607"/>
        <v>-0.39</v>
      </c>
      <c r="AN340" s="61">
        <f t="shared" si="608"/>
        <v>-0.39</v>
      </c>
      <c r="AO340" s="61">
        <f t="shared" si="608"/>
        <v>-0.39</v>
      </c>
      <c r="AP340" s="61">
        <f t="shared" si="608"/>
        <v>-0.34</v>
      </c>
      <c r="AQ340" s="61">
        <f t="shared" si="608"/>
        <v>-0.39</v>
      </c>
      <c r="AR340" s="61">
        <f t="shared" si="608"/>
        <v>-0.34</v>
      </c>
      <c r="AS340" s="61">
        <f t="shared" si="608"/>
        <v>-0.39</v>
      </c>
      <c r="AT340" s="60">
        <v>0</v>
      </c>
      <c r="AU340" s="33">
        <v>-0.39</v>
      </c>
      <c r="AV340" s="33">
        <v>0</v>
      </c>
      <c r="AW340" s="33">
        <f t="shared" ref="AW340:AW345" si="637">AV340-Z340</f>
        <v>0</v>
      </c>
      <c r="AX340" s="76">
        <f t="shared" ref="AX340:AX345" si="638">AT340-Z340</f>
        <v>0</v>
      </c>
      <c r="AY340" s="76">
        <f t="shared" ref="AY340:AY345" si="639">AT340-AL340</f>
        <v>0.39</v>
      </c>
      <c r="BE340" s="33">
        <v>0</v>
      </c>
      <c r="BF340" s="33">
        <v>0</v>
      </c>
      <c r="BG340" s="78">
        <f t="shared" ref="BG340:BG345" si="640">BE340-AV340</f>
        <v>0</v>
      </c>
      <c r="BH340" s="33">
        <f>BF340</f>
        <v>0</v>
      </c>
      <c r="BI340" s="78">
        <f t="shared" ref="BI340:BI345" si="641">BF340-AV340</f>
        <v>0</v>
      </c>
      <c r="BJ340" s="78">
        <f t="shared" ref="BJ340:BJ345" si="642">BF340-AU340</f>
        <v>0.39</v>
      </c>
      <c r="BK340" s="33"/>
      <c r="BL340" s="79">
        <f t="shared" ref="BL340:BL345" si="643">BK340-BH340</f>
        <v>0</v>
      </c>
      <c r="BM340" s="79">
        <f t="shared" ref="BM340:BM345" si="644">BK340-AV340</f>
        <v>0</v>
      </c>
      <c r="BN340" s="32"/>
      <c r="BO340" s="32"/>
      <c r="BP340" s="33">
        <v>0</v>
      </c>
      <c r="BQ340" s="31">
        <f t="shared" si="611"/>
        <v>0</v>
      </c>
      <c r="BR340" s="31">
        <f t="shared" si="612"/>
        <v>0</v>
      </c>
      <c r="BS340" s="32"/>
      <c r="BT340" s="32"/>
      <c r="BU340" s="33"/>
      <c r="BV340" s="34">
        <f t="shared" si="613"/>
        <v>0</v>
      </c>
      <c r="BY340" s="82"/>
      <c r="BZ340" s="82"/>
      <c r="CC340" s="37"/>
      <c r="CD340" s="33">
        <v>-0.39</v>
      </c>
    </row>
    <row r="341" spans="1:82" s="77" customFormat="1" ht="18" customHeight="1" x14ac:dyDescent="0.25">
      <c r="A341" s="99" t="s">
        <v>58</v>
      </c>
      <c r="B341" s="100"/>
      <c r="C341" s="101"/>
      <c r="D341" s="93"/>
      <c r="E341" s="98"/>
      <c r="F341" s="121" t="s">
        <v>818</v>
      </c>
      <c r="G341" s="106">
        <v>0</v>
      </c>
      <c r="H341" s="106">
        <v>-10</v>
      </c>
      <c r="I341" s="106">
        <v>0</v>
      </c>
      <c r="J341" s="70" t="s">
        <v>821</v>
      </c>
      <c r="K341" s="106">
        <v>7.14</v>
      </c>
      <c r="L341" s="106">
        <v>0.05</v>
      </c>
      <c r="M341" s="106">
        <v>0.05</v>
      </c>
      <c r="N341" s="106">
        <v>0.05</v>
      </c>
      <c r="O341" s="106">
        <v>0.05</v>
      </c>
      <c r="P341" s="106">
        <f>N341-I341</f>
        <v>0.05</v>
      </c>
      <c r="Q341" s="106">
        <v>0.05</v>
      </c>
      <c r="R341" s="106"/>
      <c r="S341" s="106">
        <f>Q341</f>
        <v>0.05</v>
      </c>
      <c r="T341" s="106">
        <f t="shared" si="631"/>
        <v>0.05</v>
      </c>
      <c r="U341" s="107">
        <f t="shared" si="599"/>
        <v>-7.09</v>
      </c>
      <c r="V341" s="106">
        <f t="shared" si="600"/>
        <v>0</v>
      </c>
      <c r="W341" s="108"/>
      <c r="X341" s="109">
        <f>0.05</f>
        <v>0.05</v>
      </c>
      <c r="Y341" s="24">
        <f t="shared" si="601"/>
        <v>0</v>
      </c>
      <c r="Z341" s="85">
        <f>V341</f>
        <v>0</v>
      </c>
      <c r="AA341" s="29">
        <f t="shared" si="634"/>
        <v>0</v>
      </c>
      <c r="AB341" s="29">
        <f t="shared" si="635"/>
        <v>-0.05</v>
      </c>
      <c r="AC341" s="72"/>
      <c r="AD341" s="72"/>
      <c r="AE341" s="72"/>
      <c r="AF341" s="72"/>
      <c r="AG341" s="72"/>
      <c r="AH341" s="85">
        <f>AD341</f>
        <v>0</v>
      </c>
      <c r="AI341" s="85"/>
      <c r="AJ341" s="85">
        <f t="shared" si="636"/>
        <v>0</v>
      </c>
      <c r="AK341" s="86">
        <v>0</v>
      </c>
      <c r="AL341" s="85">
        <v>-0.39</v>
      </c>
      <c r="AM341" s="27">
        <f t="shared" si="607"/>
        <v>-0.39</v>
      </c>
      <c r="AN341" s="61">
        <f t="shared" si="608"/>
        <v>-0.39</v>
      </c>
      <c r="AO341" s="61">
        <f t="shared" si="608"/>
        <v>-0.39</v>
      </c>
      <c r="AP341" s="61">
        <f t="shared" si="608"/>
        <v>-0.34</v>
      </c>
      <c r="AQ341" s="61">
        <f t="shared" si="608"/>
        <v>-0.39</v>
      </c>
      <c r="AR341" s="61">
        <f t="shared" si="608"/>
        <v>-0.34</v>
      </c>
      <c r="AS341" s="61">
        <f t="shared" si="608"/>
        <v>-0.39</v>
      </c>
      <c r="AT341" s="60">
        <v>0</v>
      </c>
      <c r="AU341" s="85">
        <v>0</v>
      </c>
      <c r="AV341" s="85">
        <v>0</v>
      </c>
      <c r="AW341" s="85">
        <f t="shared" si="637"/>
        <v>0</v>
      </c>
      <c r="AX341" s="76">
        <f t="shared" si="638"/>
        <v>0</v>
      </c>
      <c r="AY341" s="76">
        <f t="shared" si="639"/>
        <v>0.39</v>
      </c>
      <c r="BE341" s="85">
        <v>0</v>
      </c>
      <c r="BF341" s="85">
        <v>-185.75</v>
      </c>
      <c r="BG341" s="207">
        <f t="shared" si="640"/>
        <v>0</v>
      </c>
      <c r="BH341" s="85">
        <f>BF341</f>
        <v>-185.75</v>
      </c>
      <c r="BI341" s="78">
        <f t="shared" si="641"/>
        <v>-185.75</v>
      </c>
      <c r="BJ341" s="78">
        <f t="shared" si="642"/>
        <v>-185.75</v>
      </c>
      <c r="BK341" s="71">
        <v>-185.75</v>
      </c>
      <c r="BL341" s="79">
        <f t="shared" si="643"/>
        <v>0</v>
      </c>
      <c r="BM341" s="79">
        <f t="shared" si="644"/>
        <v>-185.75</v>
      </c>
      <c r="BN341" s="87" t="s">
        <v>822</v>
      </c>
      <c r="BO341" s="87" t="s">
        <v>822</v>
      </c>
      <c r="BP341" s="71">
        <v>-185.75</v>
      </c>
      <c r="BQ341" s="32">
        <f t="shared" si="611"/>
        <v>0</v>
      </c>
      <c r="BR341" s="32">
        <f t="shared" si="612"/>
        <v>-185.75</v>
      </c>
      <c r="BS341" s="87" t="s">
        <v>822</v>
      </c>
      <c r="BT341" s="87" t="s">
        <v>822</v>
      </c>
      <c r="BU341" s="33"/>
      <c r="BV341" s="34">
        <f t="shared" si="613"/>
        <v>-185.75</v>
      </c>
      <c r="BY341" s="82"/>
      <c r="BZ341" s="82"/>
      <c r="CC341" s="37"/>
      <c r="CD341" s="71">
        <v>0</v>
      </c>
    </row>
    <row r="342" spans="1:82" s="77" customFormat="1" ht="18" hidden="1" customHeight="1" x14ac:dyDescent="0.25">
      <c r="A342" s="99" t="s">
        <v>58</v>
      </c>
      <c r="B342" s="100"/>
      <c r="C342" s="101"/>
      <c r="D342" s="93" t="s">
        <v>823</v>
      </c>
      <c r="E342" s="98"/>
      <c r="F342" s="104"/>
      <c r="G342" s="46">
        <v>0</v>
      </c>
      <c r="H342" s="46">
        <v>0</v>
      </c>
      <c r="I342" s="46">
        <f t="shared" ref="I342:Q342" si="645">I343</f>
        <v>0</v>
      </c>
      <c r="J342" s="46">
        <f t="shared" si="645"/>
        <v>0</v>
      </c>
      <c r="K342" s="46">
        <f t="shared" si="645"/>
        <v>0</v>
      </c>
      <c r="L342" s="46">
        <f t="shared" si="645"/>
        <v>0</v>
      </c>
      <c r="M342" s="46">
        <f t="shared" si="645"/>
        <v>0</v>
      </c>
      <c r="N342" s="46">
        <f t="shared" si="645"/>
        <v>0</v>
      </c>
      <c r="O342" s="46">
        <f t="shared" si="645"/>
        <v>0</v>
      </c>
      <c r="P342" s="46">
        <f t="shared" si="645"/>
        <v>1</v>
      </c>
      <c r="Q342" s="46">
        <f t="shared" si="645"/>
        <v>0</v>
      </c>
      <c r="R342" s="46"/>
      <c r="S342" s="46"/>
      <c r="T342" s="46">
        <f t="shared" si="631"/>
        <v>0</v>
      </c>
      <c r="U342" s="21">
        <f t="shared" si="599"/>
        <v>0</v>
      </c>
      <c r="V342" s="46">
        <f t="shared" si="600"/>
        <v>0</v>
      </c>
      <c r="W342" s="47"/>
      <c r="X342" s="23"/>
      <c r="Y342" s="24">
        <f t="shared" si="601"/>
        <v>0</v>
      </c>
      <c r="Z342" s="48"/>
      <c r="AA342" s="110">
        <f t="shared" si="634"/>
        <v>0</v>
      </c>
      <c r="AB342" s="110">
        <f t="shared" si="635"/>
        <v>0</v>
      </c>
      <c r="AC342" s="72"/>
      <c r="AD342" s="72"/>
      <c r="AE342" s="72"/>
      <c r="AF342" s="72"/>
      <c r="AG342" s="72"/>
      <c r="AH342" s="48"/>
      <c r="AI342" s="48"/>
      <c r="AJ342" s="48">
        <f t="shared" si="636"/>
        <v>0</v>
      </c>
      <c r="AK342" s="49"/>
      <c r="AL342" s="48"/>
      <c r="AM342" s="27">
        <f t="shared" si="607"/>
        <v>0</v>
      </c>
      <c r="AN342" s="61">
        <f t="shared" si="608"/>
        <v>0</v>
      </c>
      <c r="AO342" s="62">
        <f t="shared" ref="AO342:AO352" si="646">AI342-Z342</f>
        <v>0</v>
      </c>
      <c r="AQ342" s="48"/>
      <c r="AR342" s="48"/>
      <c r="AS342" s="48"/>
      <c r="AT342" s="49"/>
      <c r="AU342" s="48"/>
      <c r="AV342" s="48"/>
      <c r="AW342" s="48">
        <f t="shared" si="637"/>
        <v>0</v>
      </c>
      <c r="AX342" s="76">
        <f t="shared" si="638"/>
        <v>0</v>
      </c>
      <c r="AY342" s="76">
        <f t="shared" si="639"/>
        <v>0</v>
      </c>
      <c r="BE342" s="48"/>
      <c r="BF342" s="48"/>
      <c r="BG342" s="78">
        <f t="shared" si="640"/>
        <v>0</v>
      </c>
      <c r="BH342" s="48"/>
      <c r="BI342" s="78">
        <f t="shared" si="641"/>
        <v>0</v>
      </c>
      <c r="BJ342" s="78">
        <f t="shared" si="642"/>
        <v>0</v>
      </c>
      <c r="BK342" s="48"/>
      <c r="BL342" s="79">
        <f t="shared" si="643"/>
        <v>0</v>
      </c>
      <c r="BM342" s="79">
        <f t="shared" si="644"/>
        <v>0</v>
      </c>
      <c r="BN342" s="32"/>
      <c r="BO342" s="32"/>
      <c r="BP342" s="48"/>
      <c r="BQ342" s="31">
        <f t="shared" si="611"/>
        <v>0</v>
      </c>
      <c r="BR342" s="31">
        <f t="shared" si="612"/>
        <v>0</v>
      </c>
      <c r="BS342" s="32"/>
      <c r="BT342" s="32"/>
      <c r="BU342" s="33"/>
      <c r="BV342" s="34">
        <f t="shared" si="613"/>
        <v>0</v>
      </c>
      <c r="BY342" s="82"/>
      <c r="BZ342" s="82"/>
      <c r="CC342" s="37"/>
      <c r="CD342" s="48"/>
    </row>
    <row r="343" spans="1:82" s="77" customFormat="1" ht="18" hidden="1" customHeight="1" x14ac:dyDescent="0.25">
      <c r="A343" s="99" t="s">
        <v>58</v>
      </c>
      <c r="B343" s="100"/>
      <c r="C343" s="101"/>
      <c r="D343" s="93"/>
      <c r="E343" s="98" t="s">
        <v>823</v>
      </c>
      <c r="F343" s="105"/>
      <c r="G343" s="55">
        <v>0</v>
      </c>
      <c r="H343" s="55">
        <v>0</v>
      </c>
      <c r="I343" s="55">
        <v>0</v>
      </c>
      <c r="J343" s="65"/>
      <c r="K343" s="55">
        <v>0</v>
      </c>
      <c r="L343" s="55">
        <v>0</v>
      </c>
      <c r="M343" s="55">
        <v>0</v>
      </c>
      <c r="N343" s="55">
        <v>0</v>
      </c>
      <c r="O343" s="55">
        <v>0</v>
      </c>
      <c r="P343" s="55">
        <v>1</v>
      </c>
      <c r="Q343" s="55">
        <v>0</v>
      </c>
      <c r="R343" s="55"/>
      <c r="S343" s="55"/>
      <c r="T343" s="55">
        <f t="shared" si="631"/>
        <v>0</v>
      </c>
      <c r="U343" s="56">
        <f t="shared" si="599"/>
        <v>0</v>
      </c>
      <c r="V343" s="55">
        <f t="shared" si="600"/>
        <v>0</v>
      </c>
      <c r="W343" s="57"/>
      <c r="X343" s="58"/>
      <c r="Y343" s="24">
        <f t="shared" si="601"/>
        <v>0</v>
      </c>
      <c r="Z343" s="33"/>
      <c r="AA343" s="110">
        <f t="shared" si="634"/>
        <v>0</v>
      </c>
      <c r="AB343" s="110">
        <f t="shared" si="635"/>
        <v>0</v>
      </c>
      <c r="AC343" s="72"/>
      <c r="AD343" s="72"/>
      <c r="AE343" s="72"/>
      <c r="AF343" s="72"/>
      <c r="AG343" s="72"/>
      <c r="AH343" s="33"/>
      <c r="AI343" s="33"/>
      <c r="AJ343" s="33">
        <f t="shared" si="636"/>
        <v>0</v>
      </c>
      <c r="AK343" s="60"/>
      <c r="AL343" s="33"/>
      <c r="AM343" s="27">
        <f t="shared" si="607"/>
        <v>0</v>
      </c>
      <c r="AN343" s="61">
        <f t="shared" si="608"/>
        <v>0</v>
      </c>
      <c r="AO343" s="62">
        <f t="shared" si="646"/>
        <v>0</v>
      </c>
      <c r="AQ343" s="33"/>
      <c r="AR343" s="33"/>
      <c r="AS343" s="33"/>
      <c r="AT343" s="60"/>
      <c r="AU343" s="33"/>
      <c r="AV343" s="33"/>
      <c r="AW343" s="33">
        <f t="shared" si="637"/>
        <v>0</v>
      </c>
      <c r="AX343" s="76">
        <f t="shared" si="638"/>
        <v>0</v>
      </c>
      <c r="AY343" s="76">
        <f t="shared" si="639"/>
        <v>0</v>
      </c>
      <c r="BE343" s="33"/>
      <c r="BF343" s="33"/>
      <c r="BG343" s="78">
        <f t="shared" si="640"/>
        <v>0</v>
      </c>
      <c r="BH343" s="33"/>
      <c r="BI343" s="78">
        <f t="shared" si="641"/>
        <v>0</v>
      </c>
      <c r="BJ343" s="78">
        <f t="shared" si="642"/>
        <v>0</v>
      </c>
      <c r="BK343" s="33"/>
      <c r="BL343" s="79">
        <f t="shared" si="643"/>
        <v>0</v>
      </c>
      <c r="BM343" s="79">
        <f t="shared" si="644"/>
        <v>0</v>
      </c>
      <c r="BN343" s="32"/>
      <c r="BO343" s="32"/>
      <c r="BP343" s="33"/>
      <c r="BQ343" s="31">
        <f t="shared" si="611"/>
        <v>0</v>
      </c>
      <c r="BR343" s="31">
        <f t="shared" si="612"/>
        <v>0</v>
      </c>
      <c r="BS343" s="32"/>
      <c r="BT343" s="32"/>
      <c r="BU343" s="33"/>
      <c r="BV343" s="34">
        <f t="shared" si="613"/>
        <v>0</v>
      </c>
      <c r="BY343" s="82"/>
      <c r="BZ343" s="82"/>
      <c r="CC343" s="37"/>
      <c r="CD343" s="33"/>
    </row>
    <row r="344" spans="1:82" s="77" customFormat="1" ht="18" hidden="1" customHeight="1" x14ac:dyDescent="0.25">
      <c r="A344" s="99" t="s">
        <v>58</v>
      </c>
      <c r="B344" s="100"/>
      <c r="C344" s="101"/>
      <c r="D344" s="93"/>
      <c r="E344" s="98"/>
      <c r="F344" s="121" t="s">
        <v>824</v>
      </c>
      <c r="G344" s="115">
        <v>0</v>
      </c>
      <c r="H344" s="115"/>
      <c r="I344" s="115">
        <v>0</v>
      </c>
      <c r="J344" s="65"/>
      <c r="K344" s="115">
        <v>0</v>
      </c>
      <c r="L344" s="115"/>
      <c r="M344" s="115"/>
      <c r="N344" s="115"/>
      <c r="O344" s="115"/>
      <c r="P344" s="115">
        <f>N344-I344</f>
        <v>0</v>
      </c>
      <c r="Q344" s="115"/>
      <c r="R344" s="115"/>
      <c r="S344" s="115"/>
      <c r="T344" s="115">
        <f t="shared" si="631"/>
        <v>0</v>
      </c>
      <c r="U344" s="107">
        <f t="shared" si="599"/>
        <v>0</v>
      </c>
      <c r="V344" s="115">
        <f t="shared" si="600"/>
        <v>0</v>
      </c>
      <c r="W344" s="116"/>
      <c r="X344" s="109"/>
      <c r="Y344" s="24">
        <f t="shared" si="601"/>
        <v>0</v>
      </c>
      <c r="Z344" s="117"/>
      <c r="AA344" s="110">
        <f t="shared" si="634"/>
        <v>0</v>
      </c>
      <c r="AB344" s="110">
        <f t="shared" si="635"/>
        <v>0</v>
      </c>
      <c r="AC344" s="72"/>
      <c r="AD344" s="72"/>
      <c r="AE344" s="72"/>
      <c r="AF344" s="72"/>
      <c r="AG344" s="72"/>
      <c r="AH344" s="117"/>
      <c r="AI344" s="117"/>
      <c r="AJ344" s="117">
        <f t="shared" si="636"/>
        <v>0</v>
      </c>
      <c r="AK344" s="118"/>
      <c r="AL344" s="117"/>
      <c r="AM344" s="27">
        <f t="shared" si="607"/>
        <v>0</v>
      </c>
      <c r="AN344" s="61">
        <f t="shared" si="608"/>
        <v>0</v>
      </c>
      <c r="AO344" s="62">
        <f t="shared" si="646"/>
        <v>0</v>
      </c>
      <c r="AQ344" s="117"/>
      <c r="AR344" s="117"/>
      <c r="AS344" s="117"/>
      <c r="AT344" s="118"/>
      <c r="AU344" s="117"/>
      <c r="AV344" s="117"/>
      <c r="AW344" s="117">
        <f t="shared" si="637"/>
        <v>0</v>
      </c>
      <c r="AX344" s="76">
        <f t="shared" si="638"/>
        <v>0</v>
      </c>
      <c r="AY344" s="76">
        <f t="shared" si="639"/>
        <v>0</v>
      </c>
      <c r="BE344" s="117"/>
      <c r="BF344" s="117"/>
      <c r="BG344" s="78">
        <f t="shared" si="640"/>
        <v>0</v>
      </c>
      <c r="BH344" s="117"/>
      <c r="BI344" s="78">
        <f t="shared" si="641"/>
        <v>0</v>
      </c>
      <c r="BJ344" s="78">
        <f t="shared" si="642"/>
        <v>0</v>
      </c>
      <c r="BK344" s="117"/>
      <c r="BL344" s="79">
        <f t="shared" si="643"/>
        <v>0</v>
      </c>
      <c r="BM344" s="79">
        <f t="shared" si="644"/>
        <v>0</v>
      </c>
      <c r="BN344" s="32"/>
      <c r="BO344" s="32"/>
      <c r="BP344" s="117"/>
      <c r="BQ344" s="31">
        <f t="shared" si="611"/>
        <v>0</v>
      </c>
      <c r="BR344" s="31">
        <f t="shared" si="612"/>
        <v>0</v>
      </c>
      <c r="BS344" s="32"/>
      <c r="BT344" s="32"/>
      <c r="BU344" s="33"/>
      <c r="BV344" s="34">
        <f t="shared" si="613"/>
        <v>0</v>
      </c>
      <c r="BY344" s="82"/>
      <c r="BZ344" s="82"/>
      <c r="CC344" s="37"/>
      <c r="CD344" s="117"/>
    </row>
    <row r="345" spans="1:82" s="77" customFormat="1" ht="18" hidden="1" customHeight="1" x14ac:dyDescent="0.25">
      <c r="A345" s="99" t="s">
        <v>58</v>
      </c>
      <c r="B345" s="100"/>
      <c r="C345" s="101"/>
      <c r="D345" s="93"/>
      <c r="E345" s="98"/>
      <c r="F345" s="121" t="s">
        <v>825</v>
      </c>
      <c r="G345" s="115">
        <v>0</v>
      </c>
      <c r="H345" s="115"/>
      <c r="I345" s="115">
        <v>0</v>
      </c>
      <c r="J345" s="65"/>
      <c r="K345" s="115">
        <v>0</v>
      </c>
      <c r="L345" s="115"/>
      <c r="M345" s="115"/>
      <c r="N345" s="115"/>
      <c r="O345" s="115"/>
      <c r="P345" s="115">
        <f>N345-I345</f>
        <v>0</v>
      </c>
      <c r="Q345" s="115"/>
      <c r="R345" s="115"/>
      <c r="S345" s="115"/>
      <c r="T345" s="115">
        <f t="shared" si="631"/>
        <v>0</v>
      </c>
      <c r="U345" s="107">
        <f t="shared" si="599"/>
        <v>0</v>
      </c>
      <c r="V345" s="115">
        <f t="shared" si="600"/>
        <v>0</v>
      </c>
      <c r="W345" s="116"/>
      <c r="X345" s="109"/>
      <c r="Y345" s="24">
        <f t="shared" si="601"/>
        <v>0</v>
      </c>
      <c r="Z345" s="117"/>
      <c r="AA345" s="110">
        <f t="shared" si="634"/>
        <v>0</v>
      </c>
      <c r="AB345" s="110">
        <f t="shared" si="635"/>
        <v>0</v>
      </c>
      <c r="AC345" s="72"/>
      <c r="AD345" s="72"/>
      <c r="AE345" s="72"/>
      <c r="AF345" s="72"/>
      <c r="AG345" s="72"/>
      <c r="AH345" s="117"/>
      <c r="AI345" s="117"/>
      <c r="AJ345" s="117">
        <f t="shared" si="636"/>
        <v>0</v>
      </c>
      <c r="AK345" s="118"/>
      <c r="AL345" s="117"/>
      <c r="AM345" s="27">
        <f t="shared" si="607"/>
        <v>0</v>
      </c>
      <c r="AN345" s="61">
        <f t="shared" si="608"/>
        <v>0</v>
      </c>
      <c r="AO345" s="62">
        <f t="shared" si="646"/>
        <v>0</v>
      </c>
      <c r="AQ345" s="117"/>
      <c r="AR345" s="117"/>
      <c r="AS345" s="117"/>
      <c r="AT345" s="118"/>
      <c r="AU345" s="117"/>
      <c r="AV345" s="117"/>
      <c r="AW345" s="117">
        <f t="shared" si="637"/>
        <v>0</v>
      </c>
      <c r="AX345" s="76">
        <f t="shared" si="638"/>
        <v>0</v>
      </c>
      <c r="AY345" s="76">
        <f t="shared" si="639"/>
        <v>0</v>
      </c>
      <c r="BE345" s="117"/>
      <c r="BF345" s="117"/>
      <c r="BG345" s="78">
        <f t="shared" si="640"/>
        <v>0</v>
      </c>
      <c r="BH345" s="117"/>
      <c r="BI345" s="78">
        <f t="shared" si="641"/>
        <v>0</v>
      </c>
      <c r="BJ345" s="78">
        <f t="shared" si="642"/>
        <v>0</v>
      </c>
      <c r="BK345" s="117"/>
      <c r="BL345" s="79">
        <f t="shared" si="643"/>
        <v>0</v>
      </c>
      <c r="BM345" s="79">
        <f t="shared" si="644"/>
        <v>0</v>
      </c>
      <c r="BN345" s="32"/>
      <c r="BO345" s="32"/>
      <c r="BP345" s="117"/>
      <c r="BQ345" s="31">
        <f t="shared" si="611"/>
        <v>0</v>
      </c>
      <c r="BR345" s="31">
        <f t="shared" si="612"/>
        <v>0</v>
      </c>
      <c r="BS345" s="32"/>
      <c r="BT345" s="32"/>
      <c r="BU345" s="33"/>
      <c r="BV345" s="34">
        <f t="shared" si="613"/>
        <v>0</v>
      </c>
      <c r="BY345" s="82"/>
      <c r="BZ345" s="82"/>
      <c r="CC345" s="37"/>
      <c r="CD345" s="117"/>
    </row>
    <row r="346" spans="1:82" s="35" customFormat="1" ht="18" customHeight="1" x14ac:dyDescent="0.25">
      <c r="A346" s="18"/>
      <c r="B346" s="144" t="s">
        <v>826</v>
      </c>
      <c r="C346" s="119"/>
      <c r="D346" s="119"/>
      <c r="E346" s="122"/>
      <c r="F346" s="40"/>
      <c r="G346" s="20"/>
      <c r="H346" s="20"/>
      <c r="I346" s="20">
        <f t="shared" ref="I346:Q346" si="647">I321+I322</f>
        <v>5200</v>
      </c>
      <c r="J346" s="20" t="e">
        <f t="shared" si="647"/>
        <v>#VALUE!</v>
      </c>
      <c r="K346" s="20">
        <f t="shared" si="647"/>
        <v>28814.030000001192</v>
      </c>
      <c r="L346" s="20">
        <f t="shared" si="647"/>
        <v>5367711.5100000007</v>
      </c>
      <c r="M346" s="20" t="e">
        <f t="shared" si="647"/>
        <v>#REF!</v>
      </c>
      <c r="N346" s="20">
        <f t="shared" si="647"/>
        <v>-29862.618866668268</v>
      </c>
      <c r="O346" s="20">
        <f t="shared" si="647"/>
        <v>-60789.633783425394</v>
      </c>
      <c r="P346" s="20">
        <f t="shared" si="647"/>
        <v>-6172657.6172000011</v>
      </c>
      <c r="Q346" s="20">
        <f t="shared" si="647"/>
        <v>929480.88999999664</v>
      </c>
      <c r="R346" s="20"/>
      <c r="S346" s="20">
        <f>S321+S322</f>
        <v>-112311.99130812414</v>
      </c>
      <c r="T346" s="20">
        <f t="shared" si="631"/>
        <v>-117511.99130812414</v>
      </c>
      <c r="U346" s="21">
        <f t="shared" si="599"/>
        <v>-141126.02130812535</v>
      </c>
      <c r="V346" s="20">
        <f t="shared" si="600"/>
        <v>-51522.357524698746</v>
      </c>
      <c r="W346" s="22"/>
      <c r="X346" s="23">
        <f>X321+X322</f>
        <v>-46763.542272728759</v>
      </c>
      <c r="Y346" s="24">
        <f t="shared" si="601"/>
        <v>65548.449035395373</v>
      </c>
      <c r="Z346" s="25">
        <f t="shared" ref="Z346:AL346" si="648">Z321+Z322</f>
        <v>17400</v>
      </c>
      <c r="AA346" s="25">
        <f t="shared" si="648"/>
        <v>-557316</v>
      </c>
      <c r="AB346" s="25">
        <f t="shared" si="648"/>
        <v>-424056.00869187876</v>
      </c>
      <c r="AC346" s="25" t="e">
        <f t="shared" si="648"/>
        <v>#VALUE!</v>
      </c>
      <c r="AD346" s="25">
        <f t="shared" si="648"/>
        <v>-686475.76250358822</v>
      </c>
      <c r="AE346" s="25">
        <f t="shared" si="648"/>
        <v>-689054.00105025456</v>
      </c>
      <c r="AF346" s="25">
        <f t="shared" si="648"/>
        <v>-392200</v>
      </c>
      <c r="AG346" s="25">
        <f t="shared" si="648"/>
        <v>-5300</v>
      </c>
      <c r="AH346" s="25">
        <f t="shared" si="648"/>
        <v>457544.97643849999</v>
      </c>
      <c r="AI346" s="25">
        <f t="shared" si="648"/>
        <v>477788.71474573569</v>
      </c>
      <c r="AJ346" s="25">
        <f t="shared" si="648"/>
        <v>440144.97643850313</v>
      </c>
      <c r="AK346" s="26">
        <f t="shared" si="648"/>
        <v>480435.01723028359</v>
      </c>
      <c r="AL346" s="25">
        <f t="shared" si="648"/>
        <v>434532.74502562312</v>
      </c>
      <c r="AM346" s="27">
        <f t="shared" si="607"/>
        <v>-43255.969720112567</v>
      </c>
      <c r="AN346" s="28">
        <f t="shared" si="608"/>
        <v>417132.74502562312</v>
      </c>
      <c r="AO346" s="50">
        <f t="shared" si="646"/>
        <v>460388.71474573569</v>
      </c>
      <c r="AQ346" s="25"/>
      <c r="AR346" s="25"/>
      <c r="AS346" s="25"/>
      <c r="AT346" s="26" t="e">
        <f t="shared" ref="AT346:BP346" si="649">AT321+AT322</f>
        <v>#REF!</v>
      </c>
      <c r="AU346" s="25">
        <f t="shared" si="649"/>
        <v>276590.24000000296</v>
      </c>
      <c r="AV346" s="25">
        <f t="shared" si="649"/>
        <v>17400</v>
      </c>
      <c r="AW346" s="25">
        <f t="shared" si="649"/>
        <v>0</v>
      </c>
      <c r="AX346" s="25" t="e">
        <f t="shared" si="649"/>
        <v>#REF!</v>
      </c>
      <c r="AY346" s="25" t="e">
        <f t="shared" si="649"/>
        <v>#REF!</v>
      </c>
      <c r="AZ346" s="25">
        <f t="shared" si="649"/>
        <v>-211.52</v>
      </c>
      <c r="BA346" s="25">
        <f t="shared" si="649"/>
        <v>-2859.38</v>
      </c>
      <c r="BB346" s="25">
        <f t="shared" si="649"/>
        <v>-11.059999999999974</v>
      </c>
      <c r="BC346" s="25">
        <f t="shared" si="649"/>
        <v>-409219.99999999901</v>
      </c>
      <c r="BD346" s="25">
        <f t="shared" si="649"/>
        <v>-8843422.6642397866</v>
      </c>
      <c r="BE346" s="25">
        <f t="shared" si="649"/>
        <v>134483.22999999858</v>
      </c>
      <c r="BF346" s="25" t="e">
        <f t="shared" si="649"/>
        <v>#REF!</v>
      </c>
      <c r="BG346" s="25">
        <f t="shared" si="649"/>
        <v>117083.22999999975</v>
      </c>
      <c r="BH346" s="25">
        <f t="shared" si="649"/>
        <v>328534.26329129172</v>
      </c>
      <c r="BI346" s="25" t="e">
        <f t="shared" si="649"/>
        <v>#REF!</v>
      </c>
      <c r="BJ346" s="25" t="e">
        <f t="shared" si="649"/>
        <v>#REF!</v>
      </c>
      <c r="BK346" s="25">
        <f t="shared" si="649"/>
        <v>48587.084663029564</v>
      </c>
      <c r="BL346" s="25">
        <f t="shared" si="649"/>
        <v>-279948.1786282605</v>
      </c>
      <c r="BM346" s="25">
        <f t="shared" si="649"/>
        <v>31185.084663030495</v>
      </c>
      <c r="BN346" s="25" t="e">
        <f t="shared" si="649"/>
        <v>#VALUE!</v>
      </c>
      <c r="BO346" s="25" t="e">
        <f t="shared" si="649"/>
        <v>#VALUE!</v>
      </c>
      <c r="BP346" s="25">
        <f t="shared" si="649"/>
        <v>18652.480000002979</v>
      </c>
      <c r="BQ346" s="31">
        <f t="shared" si="611"/>
        <v>-29934.604663026585</v>
      </c>
      <c r="BR346" s="31">
        <f t="shared" si="612"/>
        <v>1252.4800000029791</v>
      </c>
      <c r="BS346" s="32"/>
      <c r="BT346" s="32"/>
      <c r="BU346" s="33"/>
      <c r="BV346" s="34">
        <f t="shared" si="613"/>
        <v>311134.26329129172</v>
      </c>
      <c r="BY346" s="36"/>
      <c r="BZ346" s="36"/>
      <c r="CC346" s="37"/>
      <c r="CD346" s="25">
        <f>CD321+CD322</f>
        <v>276590.24000000296</v>
      </c>
    </row>
    <row r="347" spans="1:82" s="35" customFormat="1" ht="18" customHeight="1" x14ac:dyDescent="0.25">
      <c r="A347" s="18" t="s">
        <v>58</v>
      </c>
      <c r="B347" s="144" t="s">
        <v>827</v>
      </c>
      <c r="C347" s="119"/>
      <c r="D347" s="119"/>
      <c r="E347" s="122"/>
      <c r="F347" s="40"/>
      <c r="G347" s="20">
        <v>-17400</v>
      </c>
      <c r="H347" s="20">
        <v>-17400</v>
      </c>
      <c r="I347" s="20">
        <f t="shared" ref="I347:Q350" si="650">I348</f>
        <v>-17400</v>
      </c>
      <c r="J347" s="20">
        <f t="shared" si="650"/>
        <v>0</v>
      </c>
      <c r="K347" s="20">
        <f t="shared" si="650"/>
        <v>-17395</v>
      </c>
      <c r="L347" s="20">
        <f t="shared" si="650"/>
        <v>0</v>
      </c>
      <c r="M347" s="20">
        <f t="shared" si="650"/>
        <v>-8700</v>
      </c>
      <c r="N347" s="20">
        <f t="shared" si="650"/>
        <v>-17400</v>
      </c>
      <c r="O347" s="20">
        <f t="shared" si="650"/>
        <v>-17400</v>
      </c>
      <c r="P347" s="20">
        <f t="shared" si="650"/>
        <v>0</v>
      </c>
      <c r="Q347" s="20">
        <f t="shared" si="650"/>
        <v>0</v>
      </c>
      <c r="R347" s="20"/>
      <c r="S347" s="20">
        <f>S348</f>
        <v>-17400</v>
      </c>
      <c r="T347" s="20">
        <f t="shared" si="631"/>
        <v>0</v>
      </c>
      <c r="U347" s="21">
        <f t="shared" si="599"/>
        <v>-5</v>
      </c>
      <c r="V347" s="20">
        <f t="shared" si="600"/>
        <v>0</v>
      </c>
      <c r="W347" s="22"/>
      <c r="X347" s="23">
        <f>X348</f>
        <v>-17400</v>
      </c>
      <c r="Y347" s="24">
        <f t="shared" si="601"/>
        <v>0</v>
      </c>
      <c r="Z347" s="25">
        <f t="shared" ref="Z347:AL350" si="651">Z348</f>
        <v>-17400</v>
      </c>
      <c r="AA347" s="25">
        <f t="shared" si="651"/>
        <v>0</v>
      </c>
      <c r="AB347" s="25">
        <f t="shared" si="651"/>
        <v>0</v>
      </c>
      <c r="AC347" s="25">
        <f t="shared" si="651"/>
        <v>0</v>
      </c>
      <c r="AD347" s="25">
        <f t="shared" si="651"/>
        <v>0</v>
      </c>
      <c r="AE347" s="25" t="str">
        <f t="shared" si="651"/>
        <v>Maggior costo per generi alimentari, Teleriscaldamento e TFR</v>
      </c>
      <c r="AF347" s="25">
        <f t="shared" si="651"/>
        <v>0</v>
      </c>
      <c r="AG347" s="25">
        <f t="shared" si="651"/>
        <v>0</v>
      </c>
      <c r="AH347" s="25">
        <f t="shared" si="651"/>
        <v>-17400</v>
      </c>
      <c r="AI347" s="25">
        <f t="shared" si="651"/>
        <v>-17400</v>
      </c>
      <c r="AJ347" s="25">
        <f t="shared" si="651"/>
        <v>0</v>
      </c>
      <c r="AK347" s="26">
        <f t="shared" si="651"/>
        <v>-17400</v>
      </c>
      <c r="AL347" s="25">
        <f t="shared" si="651"/>
        <v>-17400</v>
      </c>
      <c r="AM347" s="27">
        <f t="shared" si="607"/>
        <v>0</v>
      </c>
      <c r="AN347" s="28">
        <f t="shared" si="608"/>
        <v>0</v>
      </c>
      <c r="AO347" s="50">
        <f t="shared" si="646"/>
        <v>0</v>
      </c>
      <c r="AQ347" s="25"/>
      <c r="AR347" s="25"/>
      <c r="AS347" s="25"/>
      <c r="AT347" s="26">
        <f t="shared" ref="AT347:BI350" si="652">AT348</f>
        <v>-17400</v>
      </c>
      <c r="AU347" s="25">
        <f t="shared" si="652"/>
        <v>-17395</v>
      </c>
      <c r="AV347" s="25">
        <f t="shared" si="652"/>
        <v>-17400</v>
      </c>
      <c r="AW347" s="25">
        <f t="shared" si="652"/>
        <v>0</v>
      </c>
      <c r="AX347" s="25">
        <f t="shared" si="652"/>
        <v>0</v>
      </c>
      <c r="AY347" s="25">
        <f t="shared" si="652"/>
        <v>0</v>
      </c>
      <c r="AZ347" s="25">
        <f t="shared" si="652"/>
        <v>0</v>
      </c>
      <c r="BA347" s="25">
        <f t="shared" si="652"/>
        <v>0</v>
      </c>
      <c r="BB347" s="25">
        <f t="shared" si="652"/>
        <v>0</v>
      </c>
      <c r="BC347" s="25">
        <f t="shared" si="652"/>
        <v>0</v>
      </c>
      <c r="BD347" s="25">
        <f t="shared" si="652"/>
        <v>0</v>
      </c>
      <c r="BE347" s="25">
        <f t="shared" si="652"/>
        <v>-17400</v>
      </c>
      <c r="BF347" s="25">
        <f t="shared" si="652"/>
        <v>-17400</v>
      </c>
      <c r="BG347" s="25">
        <f t="shared" si="652"/>
        <v>0</v>
      </c>
      <c r="BH347" s="25">
        <f t="shared" si="652"/>
        <v>-17400</v>
      </c>
      <c r="BI347" s="25">
        <f t="shared" si="652"/>
        <v>0</v>
      </c>
      <c r="BJ347" s="25">
        <f t="shared" ref="BJ347:BV350" si="653">BJ348</f>
        <v>-5</v>
      </c>
      <c r="BK347" s="25">
        <f t="shared" si="653"/>
        <v>-17400</v>
      </c>
      <c r="BL347" s="25">
        <f t="shared" si="653"/>
        <v>0</v>
      </c>
      <c r="BM347" s="25">
        <f t="shared" si="653"/>
        <v>0</v>
      </c>
      <c r="BN347" s="25">
        <f t="shared" si="653"/>
        <v>0</v>
      </c>
      <c r="BO347" s="25">
        <f t="shared" si="653"/>
        <v>0</v>
      </c>
      <c r="BP347" s="25">
        <f t="shared" si="653"/>
        <v>-17395</v>
      </c>
      <c r="BQ347" s="31">
        <f t="shared" si="611"/>
        <v>5</v>
      </c>
      <c r="BR347" s="31">
        <f t="shared" si="612"/>
        <v>5</v>
      </c>
      <c r="BS347" s="32"/>
      <c r="BT347" s="32"/>
      <c r="BU347" s="33"/>
      <c r="BV347" s="34">
        <f t="shared" si="613"/>
        <v>0</v>
      </c>
      <c r="BY347" s="36"/>
      <c r="BZ347" s="36"/>
      <c r="CC347" s="37"/>
      <c r="CD347" s="25">
        <f>CD348</f>
        <v>-17395</v>
      </c>
    </row>
    <row r="348" spans="1:82" s="35" customFormat="1" ht="18" customHeight="1" x14ac:dyDescent="0.25">
      <c r="A348" s="38" t="s">
        <v>58</v>
      </c>
      <c r="B348" s="39"/>
      <c r="C348" s="119" t="s">
        <v>828</v>
      </c>
      <c r="D348" s="119"/>
      <c r="E348" s="122"/>
      <c r="F348" s="40"/>
      <c r="G348" s="20">
        <v>-17400</v>
      </c>
      <c r="H348" s="20">
        <v>-17400</v>
      </c>
      <c r="I348" s="20">
        <f t="shared" si="650"/>
        <v>-17400</v>
      </c>
      <c r="J348" s="20">
        <f t="shared" si="650"/>
        <v>0</v>
      </c>
      <c r="K348" s="20">
        <f t="shared" si="650"/>
        <v>-17395</v>
      </c>
      <c r="L348" s="20">
        <f t="shared" si="650"/>
        <v>0</v>
      </c>
      <c r="M348" s="20">
        <f t="shared" si="650"/>
        <v>-8700</v>
      </c>
      <c r="N348" s="20">
        <f t="shared" si="650"/>
        <v>-17400</v>
      </c>
      <c r="O348" s="20">
        <f t="shared" si="650"/>
        <v>-17400</v>
      </c>
      <c r="P348" s="20">
        <f t="shared" si="650"/>
        <v>0</v>
      </c>
      <c r="Q348" s="20">
        <f t="shared" si="650"/>
        <v>0</v>
      </c>
      <c r="R348" s="20"/>
      <c r="S348" s="20">
        <f>S349</f>
        <v>-17400</v>
      </c>
      <c r="T348" s="20">
        <f t="shared" si="631"/>
        <v>0</v>
      </c>
      <c r="U348" s="21">
        <f t="shared" si="599"/>
        <v>-5</v>
      </c>
      <c r="V348" s="20">
        <f t="shared" si="600"/>
        <v>0</v>
      </c>
      <c r="W348" s="22"/>
      <c r="X348" s="23">
        <f>X349</f>
        <v>-17400</v>
      </c>
      <c r="Y348" s="24">
        <f t="shared" si="601"/>
        <v>0</v>
      </c>
      <c r="Z348" s="25">
        <f t="shared" si="651"/>
        <v>-17400</v>
      </c>
      <c r="AA348" s="25">
        <f t="shared" si="651"/>
        <v>0</v>
      </c>
      <c r="AB348" s="25">
        <f t="shared" si="651"/>
        <v>0</v>
      </c>
      <c r="AC348" s="25">
        <f t="shared" si="651"/>
        <v>0</v>
      </c>
      <c r="AD348" s="25">
        <f t="shared" si="651"/>
        <v>0</v>
      </c>
      <c r="AE348" s="25" t="str">
        <f t="shared" si="651"/>
        <v>Maggior costo per generi alimentari, Teleriscaldamento e TFR</v>
      </c>
      <c r="AF348" s="25">
        <f t="shared" si="651"/>
        <v>0</v>
      </c>
      <c r="AG348" s="25">
        <f t="shared" si="651"/>
        <v>0</v>
      </c>
      <c r="AH348" s="25">
        <f t="shared" si="651"/>
        <v>-17400</v>
      </c>
      <c r="AI348" s="25">
        <f t="shared" si="651"/>
        <v>-17400</v>
      </c>
      <c r="AJ348" s="25">
        <f t="shared" si="651"/>
        <v>0</v>
      </c>
      <c r="AK348" s="26">
        <f t="shared" si="651"/>
        <v>-17400</v>
      </c>
      <c r="AL348" s="25">
        <f t="shared" si="651"/>
        <v>-17400</v>
      </c>
      <c r="AM348" s="27">
        <f t="shared" si="607"/>
        <v>0</v>
      </c>
      <c r="AN348" s="28">
        <f t="shared" si="608"/>
        <v>0</v>
      </c>
      <c r="AO348" s="50">
        <f t="shared" si="646"/>
        <v>0</v>
      </c>
      <c r="AQ348" s="25"/>
      <c r="AR348" s="25"/>
      <c r="AS348" s="25"/>
      <c r="AT348" s="26">
        <f t="shared" si="652"/>
        <v>-17400</v>
      </c>
      <c r="AU348" s="25">
        <f t="shared" si="652"/>
        <v>-17395</v>
      </c>
      <c r="AV348" s="25">
        <f t="shared" si="652"/>
        <v>-17400</v>
      </c>
      <c r="AW348" s="25">
        <f t="shared" si="652"/>
        <v>0</v>
      </c>
      <c r="AX348" s="25">
        <f t="shared" si="652"/>
        <v>0</v>
      </c>
      <c r="AY348" s="25">
        <f t="shared" si="652"/>
        <v>0</v>
      </c>
      <c r="AZ348" s="25">
        <f t="shared" si="652"/>
        <v>0</v>
      </c>
      <c r="BA348" s="25">
        <f t="shared" si="652"/>
        <v>0</v>
      </c>
      <c r="BB348" s="25">
        <f t="shared" si="652"/>
        <v>0</v>
      </c>
      <c r="BC348" s="25">
        <f t="shared" si="652"/>
        <v>0</v>
      </c>
      <c r="BD348" s="25">
        <f t="shared" si="652"/>
        <v>0</v>
      </c>
      <c r="BE348" s="25">
        <f t="shared" si="652"/>
        <v>-17400</v>
      </c>
      <c r="BF348" s="25">
        <f t="shared" si="652"/>
        <v>-17400</v>
      </c>
      <c r="BG348" s="25">
        <f t="shared" si="652"/>
        <v>0</v>
      </c>
      <c r="BH348" s="25">
        <f t="shared" si="652"/>
        <v>-17400</v>
      </c>
      <c r="BI348" s="25">
        <f t="shared" si="652"/>
        <v>0</v>
      </c>
      <c r="BJ348" s="25">
        <f t="shared" si="653"/>
        <v>-5</v>
      </c>
      <c r="BK348" s="25">
        <f t="shared" si="653"/>
        <v>-17400</v>
      </c>
      <c r="BL348" s="25">
        <f t="shared" si="653"/>
        <v>0</v>
      </c>
      <c r="BM348" s="25">
        <f t="shared" si="653"/>
        <v>0</v>
      </c>
      <c r="BN348" s="25">
        <f t="shared" si="653"/>
        <v>0</v>
      </c>
      <c r="BO348" s="25">
        <f t="shared" si="653"/>
        <v>0</v>
      </c>
      <c r="BP348" s="25">
        <f t="shared" si="653"/>
        <v>-17395</v>
      </c>
      <c r="BQ348" s="31">
        <f t="shared" si="611"/>
        <v>5</v>
      </c>
      <c r="BR348" s="31">
        <f t="shared" si="612"/>
        <v>5</v>
      </c>
      <c r="BS348" s="32"/>
      <c r="BT348" s="32"/>
      <c r="BU348" s="33"/>
      <c r="BV348" s="34">
        <f t="shared" si="613"/>
        <v>0</v>
      </c>
      <c r="BY348" s="36"/>
      <c r="BZ348" s="36"/>
      <c r="CC348" s="37"/>
      <c r="CD348" s="25">
        <f>CD349</f>
        <v>-17395</v>
      </c>
    </row>
    <row r="349" spans="1:82" s="77" customFormat="1" ht="18" customHeight="1" x14ac:dyDescent="0.25">
      <c r="A349" s="38" t="s">
        <v>58</v>
      </c>
      <c r="B349" s="39"/>
      <c r="C349" s="93"/>
      <c r="D349" s="93" t="s">
        <v>828</v>
      </c>
      <c r="E349" s="103"/>
      <c r="F349" s="104"/>
      <c r="G349" s="46">
        <v>-17400</v>
      </c>
      <c r="H349" s="46">
        <v>-17400</v>
      </c>
      <c r="I349" s="46">
        <f t="shared" si="650"/>
        <v>-17400</v>
      </c>
      <c r="J349" s="46">
        <f t="shared" si="650"/>
        <v>0</v>
      </c>
      <c r="K349" s="46">
        <f t="shared" si="650"/>
        <v>-17395</v>
      </c>
      <c r="L349" s="46">
        <f t="shared" si="650"/>
        <v>0</v>
      </c>
      <c r="M349" s="46">
        <f t="shared" si="650"/>
        <v>-8700</v>
      </c>
      <c r="N349" s="46">
        <f t="shared" si="650"/>
        <v>-17400</v>
      </c>
      <c r="O349" s="46">
        <f t="shared" si="650"/>
        <v>-17400</v>
      </c>
      <c r="P349" s="46">
        <f t="shared" si="650"/>
        <v>0</v>
      </c>
      <c r="Q349" s="46">
        <f t="shared" si="650"/>
        <v>0</v>
      </c>
      <c r="R349" s="46"/>
      <c r="S349" s="46">
        <f>S350</f>
        <v>-17400</v>
      </c>
      <c r="T349" s="46">
        <f t="shared" si="631"/>
        <v>0</v>
      </c>
      <c r="U349" s="21">
        <f t="shared" si="599"/>
        <v>-5</v>
      </c>
      <c r="V349" s="46">
        <f t="shared" si="600"/>
        <v>0</v>
      </c>
      <c r="W349" s="47"/>
      <c r="X349" s="23">
        <f>X350</f>
        <v>-17400</v>
      </c>
      <c r="Y349" s="24">
        <f t="shared" si="601"/>
        <v>0</v>
      </c>
      <c r="Z349" s="48">
        <f t="shared" si="651"/>
        <v>-17400</v>
      </c>
      <c r="AA349" s="48">
        <f t="shared" si="651"/>
        <v>0</v>
      </c>
      <c r="AB349" s="48">
        <f t="shared" si="651"/>
        <v>0</v>
      </c>
      <c r="AC349" s="48">
        <f t="shared" si="651"/>
        <v>0</v>
      </c>
      <c r="AD349" s="48">
        <f t="shared" si="651"/>
        <v>0</v>
      </c>
      <c r="AE349" s="48" t="str">
        <f t="shared" si="651"/>
        <v>Maggior costo per generi alimentari, Teleriscaldamento e TFR</v>
      </c>
      <c r="AF349" s="48">
        <f t="shared" si="651"/>
        <v>0</v>
      </c>
      <c r="AG349" s="48">
        <f t="shared" si="651"/>
        <v>0</v>
      </c>
      <c r="AH349" s="48">
        <f t="shared" si="651"/>
        <v>-17400</v>
      </c>
      <c r="AI349" s="48">
        <f t="shared" si="651"/>
        <v>-17400</v>
      </c>
      <c r="AJ349" s="48">
        <f t="shared" si="651"/>
        <v>0</v>
      </c>
      <c r="AK349" s="49">
        <f t="shared" si="651"/>
        <v>-17400</v>
      </c>
      <c r="AL349" s="48">
        <f t="shared" si="651"/>
        <v>-17400</v>
      </c>
      <c r="AM349" s="27">
        <f t="shared" si="607"/>
        <v>0</v>
      </c>
      <c r="AN349" s="61">
        <f t="shared" si="608"/>
        <v>0</v>
      </c>
      <c r="AO349" s="62">
        <f t="shared" si="646"/>
        <v>0</v>
      </c>
      <c r="AQ349" s="48"/>
      <c r="AR349" s="48"/>
      <c r="AS349" s="48"/>
      <c r="AT349" s="49">
        <f t="shared" si="652"/>
        <v>-17400</v>
      </c>
      <c r="AU349" s="48">
        <f t="shared" si="652"/>
        <v>-17395</v>
      </c>
      <c r="AV349" s="48">
        <f t="shared" si="652"/>
        <v>-17400</v>
      </c>
      <c r="AW349" s="48">
        <f t="shared" si="652"/>
        <v>0</v>
      </c>
      <c r="AX349" s="48">
        <f t="shared" si="652"/>
        <v>0</v>
      </c>
      <c r="AY349" s="48">
        <f t="shared" si="652"/>
        <v>0</v>
      </c>
      <c r="AZ349" s="48">
        <f t="shared" si="652"/>
        <v>0</v>
      </c>
      <c r="BA349" s="48">
        <f t="shared" si="652"/>
        <v>0</v>
      </c>
      <c r="BB349" s="48">
        <f t="shared" si="652"/>
        <v>0</v>
      </c>
      <c r="BC349" s="48">
        <f t="shared" si="652"/>
        <v>0</v>
      </c>
      <c r="BD349" s="48">
        <f t="shared" si="652"/>
        <v>0</v>
      </c>
      <c r="BE349" s="48">
        <f t="shared" si="652"/>
        <v>-17400</v>
      </c>
      <c r="BF349" s="48">
        <f t="shared" si="652"/>
        <v>-17400</v>
      </c>
      <c r="BG349" s="48">
        <f t="shared" si="652"/>
        <v>0</v>
      </c>
      <c r="BH349" s="48">
        <f t="shared" si="652"/>
        <v>-17400</v>
      </c>
      <c r="BI349" s="48">
        <f t="shared" si="652"/>
        <v>0</v>
      </c>
      <c r="BJ349" s="48">
        <f t="shared" si="653"/>
        <v>-5</v>
      </c>
      <c r="BK349" s="48">
        <f t="shared" si="653"/>
        <v>-17400</v>
      </c>
      <c r="BL349" s="48">
        <f t="shared" si="653"/>
        <v>0</v>
      </c>
      <c r="BM349" s="48">
        <f t="shared" si="653"/>
        <v>0</v>
      </c>
      <c r="BN349" s="48">
        <f t="shared" si="653"/>
        <v>0</v>
      </c>
      <c r="BO349" s="48">
        <f t="shared" si="653"/>
        <v>0</v>
      </c>
      <c r="BP349" s="48">
        <f t="shared" si="653"/>
        <v>-17395</v>
      </c>
      <c r="BQ349" s="31">
        <f t="shared" si="611"/>
        <v>5</v>
      </c>
      <c r="BR349" s="31">
        <f t="shared" si="612"/>
        <v>5</v>
      </c>
      <c r="BS349" s="32"/>
      <c r="BT349" s="32"/>
      <c r="BU349" s="33"/>
      <c r="BV349" s="34">
        <f t="shared" si="613"/>
        <v>0</v>
      </c>
      <c r="BY349" s="82"/>
      <c r="BZ349" s="82"/>
      <c r="CC349" s="37"/>
      <c r="CD349" s="48">
        <f>CD350</f>
        <v>-17395</v>
      </c>
    </row>
    <row r="350" spans="1:82" s="63" customFormat="1" ht="18" customHeight="1" x14ac:dyDescent="0.25">
      <c r="A350" s="96" t="s">
        <v>58</v>
      </c>
      <c r="B350" s="97"/>
      <c r="C350" s="98"/>
      <c r="D350" s="103"/>
      <c r="E350" s="98" t="s">
        <v>829</v>
      </c>
      <c r="F350" s="105"/>
      <c r="G350" s="55">
        <v>-17400</v>
      </c>
      <c r="H350" s="55">
        <v>-17400</v>
      </c>
      <c r="I350" s="55">
        <f t="shared" si="650"/>
        <v>-17400</v>
      </c>
      <c r="J350" s="55">
        <f t="shared" si="650"/>
        <v>0</v>
      </c>
      <c r="K350" s="55">
        <f t="shared" si="650"/>
        <v>-17395</v>
      </c>
      <c r="L350" s="55">
        <f t="shared" si="650"/>
        <v>0</v>
      </c>
      <c r="M350" s="55">
        <f t="shared" si="650"/>
        <v>-8700</v>
      </c>
      <c r="N350" s="55">
        <f t="shared" si="650"/>
        <v>-17400</v>
      </c>
      <c r="O350" s="55">
        <f t="shared" si="650"/>
        <v>-17400</v>
      </c>
      <c r="P350" s="55">
        <f t="shared" si="650"/>
        <v>0</v>
      </c>
      <c r="Q350" s="55">
        <f t="shared" si="650"/>
        <v>0</v>
      </c>
      <c r="R350" s="55"/>
      <c r="S350" s="55">
        <f>S351</f>
        <v>-17400</v>
      </c>
      <c r="T350" s="55">
        <f t="shared" si="631"/>
        <v>0</v>
      </c>
      <c r="U350" s="56">
        <f t="shared" si="599"/>
        <v>-5</v>
      </c>
      <c r="V350" s="55">
        <f t="shared" si="600"/>
        <v>0</v>
      </c>
      <c r="W350" s="57"/>
      <c r="X350" s="58">
        <f>X351</f>
        <v>-17400</v>
      </c>
      <c r="Y350" s="59">
        <f t="shared" si="601"/>
        <v>0</v>
      </c>
      <c r="Z350" s="33">
        <f t="shared" si="651"/>
        <v>-17400</v>
      </c>
      <c r="AA350" s="33">
        <f t="shared" si="651"/>
        <v>0</v>
      </c>
      <c r="AB350" s="33">
        <f t="shared" si="651"/>
        <v>0</v>
      </c>
      <c r="AC350" s="33">
        <f t="shared" si="651"/>
        <v>0</v>
      </c>
      <c r="AD350" s="33">
        <f t="shared" si="651"/>
        <v>0</v>
      </c>
      <c r="AE350" s="33" t="str">
        <f t="shared" si="651"/>
        <v>Maggior costo per generi alimentari, Teleriscaldamento e TFR</v>
      </c>
      <c r="AF350" s="33">
        <f t="shared" si="651"/>
        <v>0</v>
      </c>
      <c r="AG350" s="33">
        <f t="shared" si="651"/>
        <v>0</v>
      </c>
      <c r="AH350" s="33">
        <f t="shared" si="651"/>
        <v>-17400</v>
      </c>
      <c r="AI350" s="33">
        <f t="shared" si="651"/>
        <v>-17400</v>
      </c>
      <c r="AJ350" s="33">
        <f t="shared" si="651"/>
        <v>0</v>
      </c>
      <c r="AK350" s="60">
        <f t="shared" si="651"/>
        <v>-17400</v>
      </c>
      <c r="AL350" s="33">
        <f t="shared" si="651"/>
        <v>-17400</v>
      </c>
      <c r="AM350" s="27">
        <f t="shared" si="607"/>
        <v>0</v>
      </c>
      <c r="AN350" s="61">
        <f t="shared" si="608"/>
        <v>0</v>
      </c>
      <c r="AO350" s="62">
        <f t="shared" si="646"/>
        <v>0</v>
      </c>
      <c r="AQ350" s="33"/>
      <c r="AR350" s="33"/>
      <c r="AS350" s="33"/>
      <c r="AT350" s="60">
        <f t="shared" si="652"/>
        <v>-17400</v>
      </c>
      <c r="AU350" s="33">
        <f t="shared" si="652"/>
        <v>-17395</v>
      </c>
      <c r="AV350" s="33">
        <f t="shared" si="652"/>
        <v>-17400</v>
      </c>
      <c r="AW350" s="33">
        <f t="shared" si="652"/>
        <v>0</v>
      </c>
      <c r="AX350" s="33">
        <f t="shared" si="652"/>
        <v>0</v>
      </c>
      <c r="AY350" s="33">
        <f t="shared" si="652"/>
        <v>0</v>
      </c>
      <c r="AZ350" s="33">
        <f t="shared" si="652"/>
        <v>0</v>
      </c>
      <c r="BA350" s="33">
        <f t="shared" si="652"/>
        <v>0</v>
      </c>
      <c r="BB350" s="33">
        <f t="shared" si="652"/>
        <v>0</v>
      </c>
      <c r="BC350" s="33">
        <f t="shared" si="652"/>
        <v>0</v>
      </c>
      <c r="BD350" s="33">
        <f t="shared" si="652"/>
        <v>0</v>
      </c>
      <c r="BE350" s="33">
        <f t="shared" si="652"/>
        <v>-17400</v>
      </c>
      <c r="BF350" s="33">
        <f t="shared" si="652"/>
        <v>-17400</v>
      </c>
      <c r="BG350" s="33">
        <f t="shared" si="652"/>
        <v>0</v>
      </c>
      <c r="BH350" s="33">
        <f t="shared" si="652"/>
        <v>-17400</v>
      </c>
      <c r="BI350" s="33">
        <f t="shared" si="652"/>
        <v>0</v>
      </c>
      <c r="BJ350" s="33">
        <f t="shared" si="653"/>
        <v>-5</v>
      </c>
      <c r="BK350" s="33">
        <f t="shared" si="653"/>
        <v>-17400</v>
      </c>
      <c r="BL350" s="33">
        <f t="shared" si="653"/>
        <v>0</v>
      </c>
      <c r="BM350" s="33">
        <f t="shared" si="653"/>
        <v>0</v>
      </c>
      <c r="BN350" s="33">
        <f t="shared" si="653"/>
        <v>0</v>
      </c>
      <c r="BO350" s="33">
        <f t="shared" si="653"/>
        <v>0</v>
      </c>
      <c r="BP350" s="33">
        <f t="shared" si="653"/>
        <v>-17395</v>
      </c>
      <c r="BQ350" s="31">
        <f t="shared" si="611"/>
        <v>5</v>
      </c>
      <c r="BR350" s="31">
        <f t="shared" si="612"/>
        <v>5</v>
      </c>
      <c r="BS350" s="32"/>
      <c r="BT350" s="32"/>
      <c r="BU350" s="33"/>
      <c r="BV350" s="34">
        <f t="shared" si="613"/>
        <v>0</v>
      </c>
      <c r="BY350" s="64"/>
      <c r="BZ350" s="64"/>
      <c r="CC350" s="37"/>
      <c r="CD350" s="33">
        <f>CD351</f>
        <v>-17395</v>
      </c>
    </row>
    <row r="351" spans="1:82" s="77" customFormat="1" ht="18" customHeight="1" x14ac:dyDescent="0.25">
      <c r="A351" s="99" t="s">
        <v>58</v>
      </c>
      <c r="B351" s="100"/>
      <c r="C351" s="101"/>
      <c r="D351" s="93"/>
      <c r="E351" s="98"/>
      <c r="F351" s="121" t="s">
        <v>829</v>
      </c>
      <c r="G351" s="106">
        <v>-17400</v>
      </c>
      <c r="H351" s="106">
        <v>-17400</v>
      </c>
      <c r="I351" s="106">
        <v>-17400</v>
      </c>
      <c r="J351" s="158"/>
      <c r="K351" s="106">
        <v>-17395</v>
      </c>
      <c r="L351" s="106"/>
      <c r="M351" s="106">
        <v>-8700</v>
      </c>
      <c r="N351" s="106">
        <v>-17400</v>
      </c>
      <c r="O351" s="106">
        <v>-17400</v>
      </c>
      <c r="P351" s="106">
        <f>N351-I351</f>
        <v>0</v>
      </c>
      <c r="Q351" s="106"/>
      <c r="R351" s="106"/>
      <c r="S351" s="106">
        <v>-17400</v>
      </c>
      <c r="T351" s="106">
        <f t="shared" si="631"/>
        <v>0</v>
      </c>
      <c r="U351" s="107">
        <f t="shared" si="599"/>
        <v>-5</v>
      </c>
      <c r="V351" s="106">
        <f t="shared" si="600"/>
        <v>0</v>
      </c>
      <c r="W351" s="108"/>
      <c r="X351" s="109">
        <v>-17400</v>
      </c>
      <c r="Y351" s="24">
        <f t="shared" si="601"/>
        <v>0</v>
      </c>
      <c r="Z351" s="85">
        <v>-17400</v>
      </c>
      <c r="AA351" s="29">
        <f>Z351-I351</f>
        <v>0</v>
      </c>
      <c r="AB351" s="29">
        <f>Z351-S351</f>
        <v>0</v>
      </c>
      <c r="AC351" s="72"/>
      <c r="AD351" s="72"/>
      <c r="AE351" s="72" t="s">
        <v>830</v>
      </c>
      <c r="AF351" s="72"/>
      <c r="AG351" s="72"/>
      <c r="AH351" s="85">
        <v>-17400</v>
      </c>
      <c r="AI351" s="85">
        <v>-17400</v>
      </c>
      <c r="AJ351" s="85">
        <f>AH351-Z351</f>
        <v>0</v>
      </c>
      <c r="AK351" s="86">
        <v>-17400</v>
      </c>
      <c r="AL351" s="123">
        <v>-17400</v>
      </c>
      <c r="AM351" s="27">
        <f t="shared" si="607"/>
        <v>0</v>
      </c>
      <c r="AN351" s="61">
        <f t="shared" si="608"/>
        <v>0</v>
      </c>
      <c r="AO351" s="62">
        <f t="shared" si="646"/>
        <v>0</v>
      </c>
      <c r="AQ351" s="149"/>
      <c r="AR351" s="149"/>
      <c r="AS351" s="149"/>
      <c r="AT351" s="225">
        <v>-17400</v>
      </c>
      <c r="AU351" s="85">
        <v>-17395</v>
      </c>
      <c r="AV351" s="85">
        <f>AT351</f>
        <v>-17400</v>
      </c>
      <c r="AW351" s="85">
        <f>AV351-Z351</f>
        <v>0</v>
      </c>
      <c r="AX351" s="76">
        <f>AT351-Z351</f>
        <v>0</v>
      </c>
      <c r="AY351" s="76">
        <f>AT351-AL351</f>
        <v>0</v>
      </c>
      <c r="BE351" s="85">
        <v>-17400</v>
      </c>
      <c r="BF351" s="85">
        <v>-17400</v>
      </c>
      <c r="BG351" s="78">
        <f>BE351-AV351</f>
        <v>0</v>
      </c>
      <c r="BH351" s="85">
        <f>BF351</f>
        <v>-17400</v>
      </c>
      <c r="BI351" s="78">
        <f>BF351-AV351</f>
        <v>0</v>
      </c>
      <c r="BJ351" s="78">
        <f>BF351-AU351</f>
        <v>-5</v>
      </c>
      <c r="BK351" s="71">
        <v>-17400</v>
      </c>
      <c r="BL351" s="79">
        <f>BK351-BH351</f>
        <v>0</v>
      </c>
      <c r="BM351" s="79">
        <f>BK351-AV351</f>
        <v>0</v>
      </c>
      <c r="BN351" s="32"/>
      <c r="BO351" s="32"/>
      <c r="BP351" s="71">
        <v>-17395</v>
      </c>
      <c r="BQ351" s="32">
        <f t="shared" si="611"/>
        <v>5</v>
      </c>
      <c r="BR351" s="32">
        <f t="shared" si="612"/>
        <v>5</v>
      </c>
      <c r="BS351" s="32"/>
      <c r="BT351" s="32"/>
      <c r="BU351" s="33"/>
      <c r="BV351" s="34">
        <f t="shared" si="613"/>
        <v>0</v>
      </c>
      <c r="BY351" s="82"/>
      <c r="BZ351" s="82"/>
      <c r="CC351" s="37"/>
      <c r="CD351" s="71">
        <v>-17395</v>
      </c>
    </row>
    <row r="352" spans="1:82" s="35" customFormat="1" ht="18" customHeight="1" x14ac:dyDescent="0.25">
      <c r="A352" s="18" t="s">
        <v>58</v>
      </c>
      <c r="B352" s="144" t="s">
        <v>831</v>
      </c>
      <c r="C352" s="119"/>
      <c r="D352" s="119"/>
      <c r="E352" s="120"/>
      <c r="F352" s="40"/>
      <c r="G352" s="20">
        <v>0</v>
      </c>
      <c r="H352" s="20">
        <v>-431560</v>
      </c>
      <c r="I352" s="20">
        <f t="shared" ref="I352:Q352" si="654">I346+I347</f>
        <v>-12200</v>
      </c>
      <c r="J352" s="20" t="e">
        <f t="shared" si="654"/>
        <v>#VALUE!</v>
      </c>
      <c r="K352" s="20">
        <f t="shared" si="654"/>
        <v>11419.030000001192</v>
      </c>
      <c r="L352" s="20">
        <f t="shared" si="654"/>
        <v>5367711.5100000007</v>
      </c>
      <c r="M352" s="20" t="e">
        <f t="shared" si="654"/>
        <v>#REF!</v>
      </c>
      <c r="N352" s="20">
        <f t="shared" si="654"/>
        <v>-47262.618866668272</v>
      </c>
      <c r="O352" s="20">
        <f t="shared" si="654"/>
        <v>-78189.633783425394</v>
      </c>
      <c r="P352" s="20">
        <f t="shared" si="654"/>
        <v>-6172657.6172000011</v>
      </c>
      <c r="Q352" s="20">
        <f t="shared" si="654"/>
        <v>929480.88999999664</v>
      </c>
      <c r="R352" s="20"/>
      <c r="S352" s="20">
        <f>S346+S347</f>
        <v>-129711.99130812414</v>
      </c>
      <c r="T352" s="20">
        <f t="shared" si="631"/>
        <v>-117511.99130812414</v>
      </c>
      <c r="U352" s="21">
        <f t="shared" si="599"/>
        <v>-141131.02130812535</v>
      </c>
      <c r="V352" s="20">
        <f t="shared" si="600"/>
        <v>-51522.357524698746</v>
      </c>
      <c r="W352" s="22"/>
      <c r="X352" s="23">
        <f>X346+X347</f>
        <v>-64163.542272728759</v>
      </c>
      <c r="Y352" s="24">
        <f t="shared" si="601"/>
        <v>65548.449035395373</v>
      </c>
      <c r="Z352" s="25">
        <f t="shared" ref="Z352:AJ352" si="655">Z346+Z347</f>
        <v>0</v>
      </c>
      <c r="AA352" s="25">
        <f t="shared" si="655"/>
        <v>-557316</v>
      </c>
      <c r="AB352" s="25">
        <f t="shared" si="655"/>
        <v>-424056.00869187876</v>
      </c>
      <c r="AC352" s="25" t="e">
        <f t="shared" si="655"/>
        <v>#VALUE!</v>
      </c>
      <c r="AD352" s="25">
        <f t="shared" si="655"/>
        <v>-686475.76250358822</v>
      </c>
      <c r="AE352" s="25" t="e">
        <f t="shared" si="655"/>
        <v>#VALUE!</v>
      </c>
      <c r="AF352" s="25">
        <f t="shared" si="655"/>
        <v>-392200</v>
      </c>
      <c r="AG352" s="25">
        <f t="shared" si="655"/>
        <v>-5300</v>
      </c>
      <c r="AH352" s="25">
        <f t="shared" si="655"/>
        <v>440144.97643849999</v>
      </c>
      <c r="AI352" s="25">
        <f t="shared" si="655"/>
        <v>460388.71474573569</v>
      </c>
      <c r="AJ352" s="25">
        <f t="shared" si="655"/>
        <v>440144.97643850313</v>
      </c>
      <c r="AK352" s="26">
        <v>466189.01723028359</v>
      </c>
      <c r="AL352" s="25">
        <f>AL346+AL347</f>
        <v>417132.74502562312</v>
      </c>
      <c r="AM352" s="27">
        <f t="shared" si="607"/>
        <v>-43255.969720112567</v>
      </c>
      <c r="AN352" s="61">
        <f t="shared" si="608"/>
        <v>417132.74502562312</v>
      </c>
      <c r="AO352" s="62">
        <f t="shared" si="646"/>
        <v>460388.71474573569</v>
      </c>
      <c r="AP352" s="29">
        <f>AP2-AP86</f>
        <v>417786.95142852305</v>
      </c>
      <c r="AQ352" s="25"/>
      <c r="AR352" s="25"/>
      <c r="AS352" s="25"/>
      <c r="AT352" s="26" t="e">
        <f t="shared" ref="AT352:BD352" si="656">AT346+AT347</f>
        <v>#REF!</v>
      </c>
      <c r="AU352" s="25">
        <f t="shared" si="656"/>
        <v>259195.24000000296</v>
      </c>
      <c r="AV352" s="25">
        <f t="shared" si="656"/>
        <v>0</v>
      </c>
      <c r="AW352" s="25">
        <f t="shared" si="656"/>
        <v>0</v>
      </c>
      <c r="AX352" s="25" t="e">
        <f t="shared" si="656"/>
        <v>#REF!</v>
      </c>
      <c r="AY352" s="25" t="e">
        <f t="shared" si="656"/>
        <v>#REF!</v>
      </c>
      <c r="AZ352" s="25">
        <f t="shared" si="656"/>
        <v>-211.52</v>
      </c>
      <c r="BA352" s="25">
        <f t="shared" si="656"/>
        <v>-2859.38</v>
      </c>
      <c r="BB352" s="25">
        <f t="shared" si="656"/>
        <v>-11.059999999999974</v>
      </c>
      <c r="BC352" s="25">
        <f t="shared" si="656"/>
        <v>-409219.99999999901</v>
      </c>
      <c r="BD352" s="25">
        <f t="shared" si="656"/>
        <v>-8843422.6642397866</v>
      </c>
      <c r="BE352" s="25">
        <f>BE346+BE347-BG222</f>
        <v>127838.50999999861</v>
      </c>
      <c r="BF352" s="25" t="e">
        <f t="shared" ref="BF352:BP352" si="657">BF346+BF347</f>
        <v>#REF!</v>
      </c>
      <c r="BG352" s="25">
        <f t="shared" si="657"/>
        <v>117083.22999999975</v>
      </c>
      <c r="BH352" s="25">
        <f t="shared" si="657"/>
        <v>311134.26329129172</v>
      </c>
      <c r="BI352" s="25" t="e">
        <f t="shared" si="657"/>
        <v>#REF!</v>
      </c>
      <c r="BJ352" s="25" t="e">
        <f t="shared" si="657"/>
        <v>#REF!</v>
      </c>
      <c r="BK352" s="25">
        <f t="shared" si="657"/>
        <v>31187.084663029564</v>
      </c>
      <c r="BL352" s="25">
        <f t="shared" si="657"/>
        <v>-279948.1786282605</v>
      </c>
      <c r="BM352" s="25">
        <f t="shared" si="657"/>
        <v>31185.084663030495</v>
      </c>
      <c r="BN352" s="25" t="e">
        <f t="shared" si="657"/>
        <v>#VALUE!</v>
      </c>
      <c r="BO352" s="25" t="e">
        <f t="shared" si="657"/>
        <v>#VALUE!</v>
      </c>
      <c r="BP352" s="25">
        <f t="shared" si="657"/>
        <v>1257.4800000029791</v>
      </c>
      <c r="BQ352" s="31">
        <f t="shared" si="611"/>
        <v>-29929.604663026585</v>
      </c>
      <c r="BR352" s="31">
        <f t="shared" si="612"/>
        <v>1257.4800000029791</v>
      </c>
      <c r="BS352" s="32"/>
      <c r="BT352" s="32"/>
      <c r="BU352" s="33"/>
      <c r="BV352" s="34">
        <f t="shared" si="613"/>
        <v>311134.26329129172</v>
      </c>
      <c r="BY352" s="36"/>
      <c r="BZ352" s="36"/>
      <c r="CC352" s="37"/>
      <c r="CD352" s="25">
        <f>CD346+CD347</f>
        <v>259195.24000000296</v>
      </c>
    </row>
    <row r="353" spans="1:82" s="77" customFormat="1" hidden="1" x14ac:dyDescent="0.25">
      <c r="A353" s="226" t="s">
        <v>58</v>
      </c>
      <c r="B353" s="226"/>
      <c r="C353" s="226"/>
      <c r="D353" s="226" t="s">
        <v>832</v>
      </c>
      <c r="E353" s="183"/>
      <c r="F353" s="226"/>
      <c r="G353" s="227">
        <v>0</v>
      </c>
      <c r="H353" s="227">
        <v>-431560</v>
      </c>
      <c r="I353" s="227">
        <v>0</v>
      </c>
      <c r="J353" s="228"/>
      <c r="K353" s="227">
        <v>0</v>
      </c>
      <c r="L353" s="227"/>
      <c r="M353" s="229"/>
      <c r="N353" s="227"/>
      <c r="O353" s="227"/>
      <c r="P353" s="227">
        <f>N353-I353</f>
        <v>0</v>
      </c>
      <c r="Q353" s="227"/>
      <c r="R353" s="227"/>
      <c r="S353" s="227"/>
      <c r="T353" s="227"/>
      <c r="U353" s="230"/>
      <c r="V353" s="227">
        <f t="shared" si="600"/>
        <v>0</v>
      </c>
      <c r="W353" s="231"/>
      <c r="X353" s="227"/>
      <c r="Y353" s="231"/>
      <c r="Z353" s="232"/>
      <c r="AA353" s="29"/>
      <c r="AB353" s="110">
        <f>Z353-S353</f>
        <v>0</v>
      </c>
      <c r="AC353" s="72"/>
      <c r="AD353" s="72"/>
      <c r="AE353" s="72"/>
      <c r="AF353" s="72"/>
      <c r="AG353" s="72"/>
      <c r="AH353" s="232"/>
      <c r="AI353" s="232"/>
      <c r="AJ353" s="232"/>
      <c r="AK353" s="233"/>
      <c r="AL353" s="232"/>
      <c r="AM353" s="234"/>
      <c r="AN353" s="235"/>
      <c r="AO353" s="232"/>
      <c r="AQ353" s="232"/>
      <c r="AR353" s="232"/>
      <c r="AS353" s="232"/>
      <c r="AT353" s="233"/>
      <c r="AU353" s="29"/>
      <c r="AV353" s="29"/>
      <c r="AW353" s="29">
        <f>AV353-Z353</f>
        <v>0</v>
      </c>
      <c r="AX353" s="236"/>
      <c r="AY353" s="236"/>
      <c r="BE353" s="29"/>
      <c r="BF353" s="29"/>
      <c r="BG353" s="78">
        <f>BE353-AV353</f>
        <v>0</v>
      </c>
      <c r="BH353" s="78"/>
      <c r="BI353" s="78">
        <f>BF353-AV353</f>
        <v>0</v>
      </c>
      <c r="BJ353" s="78"/>
      <c r="BK353" s="78"/>
      <c r="BL353" s="237"/>
      <c r="BM353" s="237"/>
      <c r="BN353" s="32"/>
      <c r="BO353" s="32"/>
      <c r="BP353" s="32"/>
      <c r="BQ353" s="25">
        <f t="shared" si="611"/>
        <v>0</v>
      </c>
      <c r="BR353" s="32"/>
      <c r="BS353" s="32"/>
      <c r="BT353" s="32"/>
      <c r="BU353" s="33"/>
      <c r="BV353" s="34"/>
      <c r="BY353" s="82"/>
      <c r="BZ353" s="82"/>
      <c r="CD353" s="32"/>
    </row>
    <row r="354" spans="1:82" s="77" customFormat="1" hidden="1" x14ac:dyDescent="0.25">
      <c r="A354" s="101" t="s">
        <v>58</v>
      </c>
      <c r="B354" s="101"/>
      <c r="C354" s="101"/>
      <c r="D354" s="93"/>
      <c r="E354" s="98" t="s">
        <v>833</v>
      </c>
      <c r="F354" s="98"/>
      <c r="G354" s="238">
        <v>0</v>
      </c>
      <c r="H354" s="238">
        <v>0</v>
      </c>
      <c r="I354" s="238">
        <v>0</v>
      </c>
      <c r="J354" s="239"/>
      <c r="K354" s="238">
        <v>0</v>
      </c>
      <c r="L354" s="238"/>
      <c r="M354" s="240"/>
      <c r="N354" s="238"/>
      <c r="O354" s="238"/>
      <c r="P354" s="238">
        <f>N354-I354</f>
        <v>0</v>
      </c>
      <c r="Q354" s="238"/>
      <c r="R354" s="238"/>
      <c r="S354" s="238"/>
      <c r="T354" s="238"/>
      <c r="U354" s="241"/>
      <c r="V354" s="238">
        <f t="shared" si="600"/>
        <v>0</v>
      </c>
      <c r="W354" s="242"/>
      <c r="X354" s="238"/>
      <c r="Y354" s="242"/>
      <c r="Z354" s="243"/>
      <c r="AA354" s="37"/>
      <c r="AB354" s="110">
        <f>Z354-S354</f>
        <v>0</v>
      </c>
      <c r="AC354" s="72"/>
      <c r="AD354" s="72"/>
      <c r="AE354" s="72"/>
      <c r="AF354" s="72"/>
      <c r="AG354" s="72"/>
      <c r="AH354" s="243"/>
      <c r="AI354" s="243"/>
      <c r="AJ354" s="243"/>
      <c r="AK354" s="244"/>
      <c r="AL354" s="243"/>
      <c r="AM354" s="245"/>
      <c r="AN354" s="243"/>
      <c r="AO354" s="243"/>
      <c r="AQ354" s="243"/>
      <c r="AR354" s="243"/>
      <c r="AS354" s="243"/>
      <c r="AT354" s="244"/>
      <c r="AU354" s="37"/>
      <c r="AV354" s="37"/>
      <c r="AW354" s="37">
        <f>AV354-Z354</f>
        <v>0</v>
      </c>
      <c r="AX354" s="236"/>
      <c r="AY354" s="236"/>
      <c r="BE354" s="37"/>
      <c r="BF354" s="37"/>
      <c r="BG354" s="78">
        <f>BE354-AV354</f>
        <v>0</v>
      </c>
      <c r="BH354" s="78"/>
      <c r="BI354" s="78">
        <f>BF354-AV354</f>
        <v>0</v>
      </c>
      <c r="BJ354" s="78"/>
      <c r="BK354" s="78"/>
      <c r="BL354" s="237"/>
      <c r="BM354" s="237"/>
      <c r="BN354" s="32"/>
      <c r="BO354" s="32"/>
      <c r="BP354" s="32"/>
      <c r="BQ354" s="25">
        <f t="shared" si="611"/>
        <v>0</v>
      </c>
      <c r="BR354" s="32"/>
      <c r="BS354" s="32"/>
      <c r="BT354" s="32"/>
      <c r="BU354" s="33"/>
      <c r="BV354" s="34"/>
      <c r="BY354" s="82"/>
      <c r="BZ354" s="82"/>
      <c r="CD354" s="32"/>
    </row>
    <row r="355" spans="1:82" s="77" customFormat="1" hidden="1" x14ac:dyDescent="0.25">
      <c r="A355" s="101" t="s">
        <v>58</v>
      </c>
      <c r="B355" s="101"/>
      <c r="C355" s="101"/>
      <c r="D355" s="93"/>
      <c r="E355" s="98"/>
      <c r="F355" s="101" t="s">
        <v>834</v>
      </c>
      <c r="G355" s="246">
        <v>0</v>
      </c>
      <c r="H355" s="246">
        <v>0</v>
      </c>
      <c r="I355" s="246">
        <v>0</v>
      </c>
      <c r="J355" s="247"/>
      <c r="K355" s="246">
        <v>0</v>
      </c>
      <c r="L355" s="246"/>
      <c r="M355" s="248"/>
      <c r="N355" s="246"/>
      <c r="O355" s="246"/>
      <c r="P355" s="246">
        <f>N355-I355</f>
        <v>0</v>
      </c>
      <c r="Q355" s="246"/>
      <c r="R355" s="246"/>
      <c r="S355" s="246"/>
      <c r="T355" s="246"/>
      <c r="U355" s="249"/>
      <c r="V355" s="246">
        <f t="shared" si="600"/>
        <v>0</v>
      </c>
      <c r="W355" s="250"/>
      <c r="X355" s="246"/>
      <c r="Y355" s="250"/>
      <c r="Z355" s="251"/>
      <c r="AA355" s="252"/>
      <c r="AB355" s="110">
        <f>Z355-S355</f>
        <v>0</v>
      </c>
      <c r="AC355" s="72"/>
      <c r="AD355" s="72"/>
      <c r="AE355" s="72"/>
      <c r="AF355" s="72"/>
      <c r="AG355" s="72"/>
      <c r="AH355" s="251"/>
      <c r="AI355" s="251"/>
      <c r="AJ355" s="251"/>
      <c r="AK355" s="253"/>
      <c r="AL355" s="251"/>
      <c r="AM355" s="254"/>
      <c r="AN355" s="255"/>
      <c r="AO355" s="251"/>
      <c r="AQ355" s="251"/>
      <c r="AR355" s="251"/>
      <c r="AS355" s="251"/>
      <c r="AT355" s="253"/>
      <c r="AU355" s="252"/>
      <c r="AV355" s="252"/>
      <c r="AW355" s="252">
        <f>AV355-Z355</f>
        <v>0</v>
      </c>
      <c r="AX355" s="236"/>
      <c r="AY355" s="236"/>
      <c r="BE355" s="252"/>
      <c r="BF355" s="252"/>
      <c r="BG355" s="78">
        <f>BE355-AV355</f>
        <v>0</v>
      </c>
      <c r="BH355" s="78"/>
      <c r="BI355" s="78">
        <f>BF355-AV355</f>
        <v>0</v>
      </c>
      <c r="BJ355" s="78"/>
      <c r="BK355" s="78"/>
      <c r="BL355" s="237"/>
      <c r="BM355" s="237"/>
      <c r="BN355" s="32"/>
      <c r="BO355" s="32"/>
      <c r="BP355" s="32"/>
      <c r="BQ355" s="25">
        <f t="shared" si="611"/>
        <v>0</v>
      </c>
      <c r="BR355" s="32"/>
      <c r="BS355" s="32"/>
      <c r="BT355" s="32"/>
      <c r="BU355" s="33"/>
      <c r="BV355" s="34"/>
      <c r="BY355" s="82"/>
      <c r="BZ355" s="82"/>
      <c r="CD355" s="32"/>
    </row>
    <row r="356" spans="1:82" s="77" customFormat="1" hidden="1" x14ac:dyDescent="0.25">
      <c r="A356" s="101" t="s">
        <v>58</v>
      </c>
      <c r="B356" s="101"/>
      <c r="C356" s="101"/>
      <c r="D356" s="93"/>
      <c r="E356" s="98" t="s">
        <v>835</v>
      </c>
      <c r="F356" s="98"/>
      <c r="G356" s="238">
        <v>0</v>
      </c>
      <c r="H356" s="238">
        <v>0</v>
      </c>
      <c r="I356" s="238">
        <v>0</v>
      </c>
      <c r="J356" s="256"/>
      <c r="K356" s="238">
        <v>0</v>
      </c>
      <c r="L356" s="238"/>
      <c r="M356" s="240"/>
      <c r="N356" s="238"/>
      <c r="O356" s="238"/>
      <c r="P356" s="238">
        <f>N356-I356</f>
        <v>0</v>
      </c>
      <c r="Q356" s="238"/>
      <c r="R356" s="238"/>
      <c r="S356" s="238"/>
      <c r="T356" s="238"/>
      <c r="U356" s="241"/>
      <c r="V356" s="238">
        <f t="shared" si="600"/>
        <v>0</v>
      </c>
      <c r="W356" s="242"/>
      <c r="X356" s="238"/>
      <c r="Y356" s="242"/>
      <c r="Z356" s="243"/>
      <c r="AA356" s="37"/>
      <c r="AB356" s="110">
        <f>Z356-S356</f>
        <v>0</v>
      </c>
      <c r="AC356" s="72"/>
      <c r="AD356" s="72"/>
      <c r="AE356" s="72"/>
      <c r="AF356" s="72"/>
      <c r="AG356" s="72"/>
      <c r="AH356" s="243"/>
      <c r="AI356" s="243"/>
      <c r="AJ356" s="243"/>
      <c r="AK356" s="244"/>
      <c r="AL356" s="243"/>
      <c r="AM356" s="245"/>
      <c r="AN356" s="243"/>
      <c r="AO356" s="243"/>
      <c r="AQ356" s="243"/>
      <c r="AR356" s="243"/>
      <c r="AS356" s="243"/>
      <c r="AT356" s="244"/>
      <c r="AU356" s="37"/>
      <c r="AV356" s="37"/>
      <c r="AW356" s="37">
        <f>AV356-Z356</f>
        <v>0</v>
      </c>
      <c r="AX356" s="236"/>
      <c r="AY356" s="236"/>
      <c r="BE356" s="37"/>
      <c r="BF356" s="37"/>
      <c r="BG356" s="78">
        <f>BE356-AV356</f>
        <v>0</v>
      </c>
      <c r="BH356" s="78"/>
      <c r="BI356" s="78">
        <f>BF356-AV356</f>
        <v>0</v>
      </c>
      <c r="BJ356" s="78"/>
      <c r="BK356" s="78"/>
      <c r="BL356" s="237"/>
      <c r="BM356" s="237"/>
      <c r="BN356" s="32"/>
      <c r="BO356" s="32"/>
      <c r="BP356" s="32"/>
      <c r="BQ356" s="25">
        <f t="shared" si="611"/>
        <v>0</v>
      </c>
      <c r="BR356" s="32"/>
      <c r="BS356" s="32"/>
      <c r="BT356" s="32"/>
      <c r="BU356" s="33"/>
      <c r="BV356" s="34"/>
      <c r="BY356" s="82"/>
      <c r="BZ356" s="82"/>
      <c r="CD356" s="32"/>
    </row>
    <row r="357" spans="1:82" ht="18" hidden="1" thickBot="1" x14ac:dyDescent="0.35">
      <c r="A357" s="101" t="s">
        <v>58</v>
      </c>
      <c r="B357" s="101"/>
      <c r="C357" s="101"/>
      <c r="D357" s="93"/>
      <c r="E357" s="98"/>
      <c r="F357" s="101" t="s">
        <v>836</v>
      </c>
      <c r="G357" s="246">
        <v>0</v>
      </c>
      <c r="H357" s="246">
        <v>-431560</v>
      </c>
      <c r="I357" s="246">
        <v>0</v>
      </c>
      <c r="J357" s="238"/>
      <c r="K357" s="246">
        <v>0</v>
      </c>
      <c r="L357" s="246"/>
      <c r="M357" s="257"/>
      <c r="N357" s="246"/>
      <c r="O357" s="246"/>
      <c r="P357" s="246">
        <f>N357-I357</f>
        <v>0</v>
      </c>
      <c r="Q357" s="246"/>
      <c r="R357" s="246"/>
      <c r="S357" s="246"/>
      <c r="T357" s="246"/>
      <c r="U357" s="249"/>
      <c r="V357" s="246">
        <f t="shared" si="600"/>
        <v>0</v>
      </c>
      <c r="W357" s="250"/>
      <c r="X357" s="246"/>
      <c r="Y357" s="250"/>
      <c r="Z357" s="251"/>
      <c r="AA357" s="252"/>
      <c r="AB357" s="110">
        <f>Z357-S357</f>
        <v>0</v>
      </c>
      <c r="AH357" s="251"/>
      <c r="AI357" s="251"/>
      <c r="AJ357" s="251"/>
      <c r="AK357" s="253"/>
      <c r="AL357" s="251"/>
      <c r="AM357" s="254"/>
      <c r="AN357" s="255"/>
      <c r="AO357" s="251"/>
      <c r="AQ357" s="251"/>
      <c r="AR357" s="251"/>
      <c r="AS357" s="251"/>
      <c r="AT357" s="253"/>
      <c r="AU357" s="252"/>
      <c r="AV357" s="252"/>
      <c r="AW357" s="252">
        <f>AV357-Z357</f>
        <v>0</v>
      </c>
      <c r="BE357" s="252"/>
      <c r="BF357" s="252"/>
      <c r="BG357" s="78">
        <f>BE357-AV357</f>
        <v>0</v>
      </c>
      <c r="BH357" s="78"/>
      <c r="BI357" s="78">
        <f>BF357-AV357</f>
        <v>0</v>
      </c>
      <c r="BJ357" s="78"/>
      <c r="BK357" s="78"/>
      <c r="BL357" s="237"/>
      <c r="BM357" s="237"/>
      <c r="BN357" s="32"/>
      <c r="BO357" s="32"/>
      <c r="BP357" s="32"/>
      <c r="BQ357" s="25">
        <f t="shared" si="611"/>
        <v>0</v>
      </c>
      <c r="BR357" s="32"/>
      <c r="BS357" s="32"/>
      <c r="BT357" s="32"/>
      <c r="BU357" s="33"/>
      <c r="BV357" s="34"/>
      <c r="CD357" s="32"/>
    </row>
    <row r="358" spans="1:82" x14ac:dyDescent="0.3">
      <c r="J358" s="266"/>
      <c r="AE358" s="258" t="e">
        <f>AE352/219/365</f>
        <v>#VALUE!</v>
      </c>
    </row>
    <row r="359" spans="1:82" x14ac:dyDescent="0.3">
      <c r="A359" s="259"/>
      <c r="B359" s="259"/>
      <c r="C359" s="259"/>
      <c r="D359" s="274"/>
      <c r="E359" s="275"/>
      <c r="F359" s="259"/>
      <c r="J359" s="266"/>
    </row>
    <row r="360" spans="1:82" s="265" customFormat="1" x14ac:dyDescent="0.3">
      <c r="A360" s="262"/>
      <c r="B360" s="262"/>
      <c r="C360" s="262"/>
      <c r="D360" s="263"/>
      <c r="E360" s="264"/>
      <c r="F360" s="262"/>
      <c r="J360" s="256"/>
      <c r="U360" s="267"/>
      <c r="W360" s="268"/>
      <c r="Y360" s="268"/>
      <c r="Z360" s="258"/>
      <c r="AA360" s="258"/>
      <c r="AB360" s="258"/>
      <c r="AC360" s="258"/>
      <c r="AD360" s="258"/>
      <c r="AE360" s="258"/>
      <c r="AF360" s="258"/>
      <c r="AG360" s="258"/>
      <c r="AH360" s="258"/>
      <c r="AI360" s="258"/>
      <c r="AJ360" s="258"/>
      <c r="AK360" s="269"/>
      <c r="AL360" s="258"/>
      <c r="AM360" s="270"/>
      <c r="AN360" s="271"/>
      <c r="AO360" s="258"/>
      <c r="AP360" s="259"/>
      <c r="AQ360" s="258"/>
      <c r="AR360" s="258"/>
      <c r="AS360" s="258"/>
      <c r="AT360" s="269"/>
      <c r="AU360" s="258"/>
      <c r="AV360" s="258"/>
      <c r="AW360" s="258"/>
      <c r="AX360" s="260"/>
      <c r="AY360" s="260"/>
      <c r="AZ360" s="259"/>
      <c r="BA360" s="259"/>
      <c r="BB360" s="259"/>
      <c r="BC360" s="259"/>
      <c r="BD360" s="259"/>
      <c r="BE360" s="258"/>
      <c r="BF360" s="258"/>
      <c r="BG360" s="258"/>
      <c r="BH360" s="258"/>
      <c r="BI360" s="258"/>
      <c r="BJ360" s="258"/>
      <c r="BK360" s="258"/>
      <c r="BL360" s="272"/>
      <c r="BM360" s="272"/>
      <c r="BN360" s="273"/>
      <c r="BO360" s="270"/>
      <c r="BP360" s="270"/>
      <c r="BQ360" s="270"/>
      <c r="BR360" s="270"/>
      <c r="BS360" s="270"/>
      <c r="BT360" s="273"/>
      <c r="BU360" s="258"/>
      <c r="BV360" s="269"/>
      <c r="BY360" s="261"/>
      <c r="BZ360" s="261"/>
      <c r="CD360" s="270"/>
    </row>
    <row r="361" spans="1:82" s="265" customFormat="1" x14ac:dyDescent="0.3">
      <c r="A361" s="262"/>
      <c r="B361" s="262"/>
      <c r="C361" s="262"/>
      <c r="D361" s="263"/>
      <c r="E361" s="264"/>
      <c r="F361" s="262"/>
      <c r="J361" s="238"/>
      <c r="U361" s="267"/>
      <c r="W361" s="268"/>
      <c r="Y361" s="268"/>
      <c r="Z361" s="258"/>
      <c r="AA361" s="258"/>
      <c r="AB361" s="258"/>
      <c r="AC361" s="258"/>
      <c r="AD361" s="258"/>
      <c r="AE361" s="258"/>
      <c r="AF361" s="258"/>
      <c r="AG361" s="258"/>
      <c r="AH361" s="258"/>
      <c r="AI361" s="258"/>
      <c r="AJ361" s="258"/>
      <c r="AK361" s="269"/>
      <c r="AL361" s="258"/>
      <c r="AM361" s="270"/>
      <c r="AN361" s="271"/>
      <c r="AO361" s="258"/>
      <c r="AP361" s="259"/>
      <c r="AQ361" s="258"/>
      <c r="AR361" s="258"/>
      <c r="AS361" s="258"/>
      <c r="AT361" s="269"/>
      <c r="AU361" s="258"/>
      <c r="AV361" s="258"/>
      <c r="AW361" s="258"/>
      <c r="AX361" s="260"/>
      <c r="AY361" s="260"/>
      <c r="AZ361" s="259"/>
      <c r="BA361" s="259"/>
      <c r="BB361" s="259"/>
      <c r="BC361" s="259"/>
      <c r="BD361" s="259"/>
      <c r="BE361" s="258"/>
      <c r="BF361" s="258"/>
      <c r="BG361" s="258"/>
      <c r="BH361" s="258"/>
      <c r="BI361" s="258"/>
      <c r="BJ361" s="258"/>
      <c r="BK361" s="258"/>
      <c r="BL361" s="272"/>
      <c r="BM361" s="272"/>
      <c r="BN361" s="273"/>
      <c r="BO361" s="270"/>
      <c r="BP361" s="270"/>
      <c r="BQ361" s="270"/>
      <c r="BR361" s="270"/>
      <c r="BS361" s="270"/>
      <c r="BT361" s="273"/>
      <c r="BU361" s="258"/>
      <c r="BV361" s="269"/>
      <c r="BY361" s="261"/>
      <c r="BZ361" s="261"/>
      <c r="CD361" s="270"/>
    </row>
    <row r="362" spans="1:82" s="265" customFormat="1" x14ac:dyDescent="0.3">
      <c r="A362" s="262"/>
      <c r="B362" s="262"/>
      <c r="C362" s="262"/>
      <c r="D362" s="263"/>
      <c r="E362" s="264"/>
      <c r="F362" s="262"/>
      <c r="J362" s="266"/>
      <c r="U362" s="267"/>
      <c r="W362" s="268"/>
      <c r="Y362" s="268"/>
      <c r="Z362" s="258"/>
      <c r="AA362" s="258"/>
      <c r="AB362" s="258"/>
      <c r="AC362" s="258"/>
      <c r="AD362" s="258"/>
      <c r="AE362" s="258"/>
      <c r="AF362" s="258"/>
      <c r="AG362" s="258"/>
      <c r="AH362" s="258"/>
      <c r="AI362" s="258"/>
      <c r="AJ362" s="258"/>
      <c r="AK362" s="269"/>
      <c r="AL362" s="258"/>
      <c r="AM362" s="270"/>
      <c r="AN362" s="271"/>
      <c r="AO362" s="258"/>
      <c r="AP362" s="259"/>
      <c r="AQ362" s="258"/>
      <c r="AR362" s="258"/>
      <c r="AS362" s="258"/>
      <c r="AT362" s="269"/>
      <c r="AU362" s="258"/>
      <c r="AV362" s="258"/>
      <c r="AW362" s="258"/>
      <c r="AX362" s="260"/>
      <c r="AY362" s="260"/>
      <c r="AZ362" s="259"/>
      <c r="BA362" s="259"/>
      <c r="BB362" s="259"/>
      <c r="BC362" s="259"/>
      <c r="BD362" s="259"/>
      <c r="BE362" s="258"/>
      <c r="BF362" s="258"/>
      <c r="BG362" s="258"/>
      <c r="BH362" s="258"/>
      <c r="BI362" s="258"/>
      <c r="BJ362" s="258"/>
      <c r="BK362" s="258"/>
      <c r="BL362" s="272"/>
      <c r="BM362" s="272"/>
      <c r="BN362" s="273"/>
      <c r="BO362" s="270"/>
      <c r="BP362" s="270"/>
      <c r="BQ362" s="270"/>
      <c r="BR362" s="270"/>
      <c r="BS362" s="270"/>
      <c r="BT362" s="273"/>
      <c r="BU362" s="258"/>
      <c r="BV362" s="269"/>
      <c r="BY362" s="261"/>
      <c r="BZ362" s="261"/>
      <c r="CD362" s="270"/>
    </row>
    <row r="363" spans="1:82" s="265" customFormat="1" x14ac:dyDescent="0.3">
      <c r="A363" s="262"/>
      <c r="B363" s="262"/>
      <c r="C363" s="262"/>
      <c r="D363" s="263"/>
      <c r="E363" s="264"/>
      <c r="F363" s="262"/>
      <c r="J363" s="266"/>
      <c r="U363" s="267"/>
      <c r="W363" s="268"/>
      <c r="Y363" s="268"/>
      <c r="Z363" s="258"/>
      <c r="AA363" s="258"/>
      <c r="AB363" s="258"/>
      <c r="AC363" s="258"/>
      <c r="AD363" s="258"/>
      <c r="AE363" s="258"/>
      <c r="AF363" s="258"/>
      <c r="AG363" s="258"/>
      <c r="AH363" s="258"/>
      <c r="AI363" s="258"/>
      <c r="AJ363" s="258"/>
      <c r="AK363" s="269"/>
      <c r="AL363" s="258"/>
      <c r="AM363" s="270"/>
      <c r="AN363" s="271"/>
      <c r="AO363" s="258"/>
      <c r="AP363" s="259"/>
      <c r="AQ363" s="258"/>
      <c r="AR363" s="258"/>
      <c r="AS363" s="258"/>
      <c r="AT363" s="269"/>
      <c r="AU363" s="258"/>
      <c r="AV363" s="258"/>
      <c r="AW363" s="258"/>
      <c r="AX363" s="260"/>
      <c r="AY363" s="260"/>
      <c r="AZ363" s="259"/>
      <c r="BA363" s="259"/>
      <c r="BB363" s="259"/>
      <c r="BC363" s="259"/>
      <c r="BD363" s="259"/>
      <c r="BE363" s="258"/>
      <c r="BF363" s="258"/>
      <c r="BG363" s="258"/>
      <c r="BH363" s="258"/>
      <c r="BI363" s="258"/>
      <c r="BJ363" s="258"/>
      <c r="BK363" s="258"/>
      <c r="BL363" s="272"/>
      <c r="BM363" s="272"/>
      <c r="BN363" s="273"/>
      <c r="BO363" s="270"/>
      <c r="BP363" s="270"/>
      <c r="BQ363" s="270"/>
      <c r="BR363" s="270"/>
      <c r="BS363" s="270"/>
      <c r="BT363" s="273"/>
      <c r="BU363" s="258"/>
      <c r="BV363" s="269"/>
      <c r="BY363" s="261"/>
      <c r="BZ363" s="261"/>
      <c r="CD363" s="270"/>
    </row>
    <row r="364" spans="1:82" s="265" customFormat="1" x14ac:dyDescent="0.3">
      <c r="A364" s="262"/>
      <c r="B364" s="262"/>
      <c r="C364" s="262"/>
      <c r="D364" s="263"/>
      <c r="E364" s="264"/>
      <c r="F364" s="262"/>
      <c r="J364" s="266"/>
      <c r="U364" s="267"/>
      <c r="W364" s="268"/>
      <c r="Y364" s="268"/>
      <c r="Z364" s="258"/>
      <c r="AA364" s="258"/>
      <c r="AB364" s="258"/>
      <c r="AC364" s="258"/>
      <c r="AD364" s="258"/>
      <c r="AE364" s="258"/>
      <c r="AF364" s="258"/>
      <c r="AG364" s="258"/>
      <c r="AH364" s="258"/>
      <c r="AI364" s="258"/>
      <c r="AJ364" s="258"/>
      <c r="AK364" s="269"/>
      <c r="AL364" s="258"/>
      <c r="AM364" s="270"/>
      <c r="AN364" s="271"/>
      <c r="AO364" s="258"/>
      <c r="AP364" s="259"/>
      <c r="AQ364" s="258"/>
      <c r="AR364" s="258"/>
      <c r="AS364" s="258"/>
      <c r="AT364" s="269"/>
      <c r="AU364" s="258"/>
      <c r="AV364" s="258"/>
      <c r="AW364" s="258"/>
      <c r="AX364" s="260"/>
      <c r="AY364" s="260"/>
      <c r="AZ364" s="259"/>
      <c r="BA364" s="259"/>
      <c r="BB364" s="259"/>
      <c r="BC364" s="259"/>
      <c r="BD364" s="259"/>
      <c r="BE364" s="258"/>
      <c r="BF364" s="258"/>
      <c r="BG364" s="258"/>
      <c r="BH364" s="258"/>
      <c r="BI364" s="258"/>
      <c r="BJ364" s="258"/>
      <c r="BK364" s="258"/>
      <c r="BL364" s="272"/>
      <c r="BM364" s="272"/>
      <c r="BN364" s="273"/>
      <c r="BO364" s="270"/>
      <c r="BP364" s="270"/>
      <c r="BQ364" s="270"/>
      <c r="BR364" s="270"/>
      <c r="BS364" s="270"/>
      <c r="BT364" s="273"/>
      <c r="BU364" s="258"/>
      <c r="BV364" s="269"/>
      <c r="BY364" s="261"/>
      <c r="BZ364" s="261"/>
      <c r="CD364" s="270"/>
    </row>
    <row r="365" spans="1:82" s="265" customFormat="1" x14ac:dyDescent="0.3">
      <c r="A365" s="262"/>
      <c r="B365" s="262"/>
      <c r="C365" s="262"/>
      <c r="D365" s="263"/>
      <c r="E365" s="264"/>
      <c r="F365" s="262"/>
      <c r="J365" s="276"/>
      <c r="U365" s="267"/>
      <c r="W365" s="268"/>
      <c r="Y365" s="268"/>
      <c r="Z365" s="258"/>
      <c r="AA365" s="258"/>
      <c r="AB365" s="258"/>
      <c r="AC365" s="258"/>
      <c r="AD365" s="258"/>
      <c r="AE365" s="258"/>
      <c r="AF365" s="258"/>
      <c r="AG365" s="258"/>
      <c r="AH365" s="258"/>
      <c r="AI365" s="258"/>
      <c r="AJ365" s="258"/>
      <c r="AK365" s="269"/>
      <c r="AL365" s="258"/>
      <c r="AM365" s="270"/>
      <c r="AN365" s="271"/>
      <c r="AO365" s="258"/>
      <c r="AP365" s="259"/>
      <c r="AQ365" s="258"/>
      <c r="AR365" s="258"/>
      <c r="AS365" s="258"/>
      <c r="AT365" s="269"/>
      <c r="AU365" s="258"/>
      <c r="AV365" s="258"/>
      <c r="AW365" s="258"/>
      <c r="AX365" s="260"/>
      <c r="AY365" s="260"/>
      <c r="AZ365" s="259"/>
      <c r="BA365" s="259"/>
      <c r="BB365" s="259"/>
      <c r="BC365" s="259"/>
      <c r="BD365" s="259"/>
      <c r="BE365" s="258"/>
      <c r="BF365" s="258"/>
      <c r="BG365" s="258"/>
      <c r="BH365" s="258"/>
      <c r="BI365" s="258"/>
      <c r="BJ365" s="258"/>
      <c r="BK365" s="258"/>
      <c r="BL365" s="272"/>
      <c r="BM365" s="272"/>
      <c r="BN365" s="273"/>
      <c r="BO365" s="270"/>
      <c r="BP365" s="270"/>
      <c r="BQ365" s="270"/>
      <c r="BR365" s="270"/>
      <c r="BS365" s="270"/>
      <c r="BT365" s="273"/>
      <c r="BU365" s="258"/>
      <c r="BV365" s="269"/>
      <c r="BY365" s="261"/>
      <c r="BZ365" s="261"/>
      <c r="CD365" s="270"/>
    </row>
    <row r="366" spans="1:82" s="265" customFormat="1" x14ac:dyDescent="0.3">
      <c r="A366" s="262"/>
      <c r="B366" s="262"/>
      <c r="C366" s="262"/>
      <c r="D366" s="263"/>
      <c r="E366" s="264"/>
      <c r="F366" s="262"/>
      <c r="J366" s="276"/>
      <c r="U366" s="267"/>
      <c r="W366" s="268"/>
      <c r="Y366" s="268"/>
      <c r="Z366" s="258"/>
      <c r="AA366" s="258"/>
      <c r="AB366" s="258"/>
      <c r="AC366" s="258"/>
      <c r="AD366" s="258"/>
      <c r="AE366" s="258"/>
      <c r="AF366" s="258"/>
      <c r="AG366" s="258"/>
      <c r="AH366" s="258"/>
      <c r="AI366" s="258"/>
      <c r="AJ366" s="258"/>
      <c r="AK366" s="269"/>
      <c r="AL366" s="258"/>
      <c r="AM366" s="270"/>
      <c r="AN366" s="271"/>
      <c r="AO366" s="258"/>
      <c r="AP366" s="259"/>
      <c r="AQ366" s="258"/>
      <c r="AR366" s="258"/>
      <c r="AS366" s="258"/>
      <c r="AT366" s="269"/>
      <c r="AU366" s="258"/>
      <c r="AV366" s="258"/>
      <c r="AW366" s="258"/>
      <c r="AX366" s="260"/>
      <c r="AY366" s="260"/>
      <c r="AZ366" s="259"/>
      <c r="BA366" s="259"/>
      <c r="BB366" s="259"/>
      <c r="BC366" s="259"/>
      <c r="BD366" s="259"/>
      <c r="BE366" s="258"/>
      <c r="BF366" s="258"/>
      <c r="BG366" s="258"/>
      <c r="BH366" s="258"/>
      <c r="BI366" s="258"/>
      <c r="BJ366" s="258"/>
      <c r="BK366" s="258"/>
      <c r="BL366" s="272"/>
      <c r="BM366" s="272"/>
      <c r="BN366" s="273"/>
      <c r="BO366" s="270"/>
      <c r="BP366" s="270"/>
      <c r="BQ366" s="270"/>
      <c r="BR366" s="270"/>
      <c r="BS366" s="270"/>
      <c r="BT366" s="273"/>
      <c r="BU366" s="258"/>
      <c r="BV366" s="269"/>
      <c r="BY366" s="261"/>
      <c r="BZ366" s="261"/>
      <c r="CD366" s="270"/>
    </row>
    <row r="367" spans="1:82" s="265" customFormat="1" x14ac:dyDescent="0.3">
      <c r="A367" s="262"/>
      <c r="B367" s="262"/>
      <c r="C367" s="262"/>
      <c r="D367" s="263"/>
      <c r="E367" s="264"/>
      <c r="F367" s="262"/>
      <c r="J367" s="266"/>
      <c r="U367" s="267"/>
      <c r="W367" s="268"/>
      <c r="Y367" s="268"/>
      <c r="Z367" s="258"/>
      <c r="AA367" s="258"/>
      <c r="AB367" s="258"/>
      <c r="AC367" s="258"/>
      <c r="AD367" s="258"/>
      <c r="AE367" s="258"/>
      <c r="AF367" s="258"/>
      <c r="AG367" s="258"/>
      <c r="AH367" s="258"/>
      <c r="AI367" s="258"/>
      <c r="AJ367" s="258"/>
      <c r="AK367" s="269"/>
      <c r="AL367" s="258"/>
      <c r="AM367" s="270"/>
      <c r="AN367" s="271"/>
      <c r="AO367" s="258"/>
      <c r="AP367" s="259"/>
      <c r="AQ367" s="258"/>
      <c r="AR367" s="258"/>
      <c r="AS367" s="258"/>
      <c r="AT367" s="269"/>
      <c r="AU367" s="258"/>
      <c r="AV367" s="258"/>
      <c r="AW367" s="258"/>
      <c r="AX367" s="260"/>
      <c r="AY367" s="260"/>
      <c r="AZ367" s="259"/>
      <c r="BA367" s="259"/>
      <c r="BB367" s="259"/>
      <c r="BC367" s="259"/>
      <c r="BD367" s="259"/>
      <c r="BE367" s="258"/>
      <c r="BF367" s="258"/>
      <c r="BG367" s="258"/>
      <c r="BH367" s="258"/>
      <c r="BI367" s="258"/>
      <c r="BJ367" s="258"/>
      <c r="BK367" s="258"/>
      <c r="BL367" s="272"/>
      <c r="BM367" s="272"/>
      <c r="BN367" s="273"/>
      <c r="BO367" s="270"/>
      <c r="BP367" s="270"/>
      <c r="BQ367" s="270"/>
      <c r="BR367" s="270"/>
      <c r="BS367" s="270"/>
      <c r="BT367" s="273"/>
      <c r="BU367" s="258"/>
      <c r="BV367" s="269"/>
      <c r="BY367" s="261"/>
      <c r="BZ367" s="261"/>
      <c r="CD367" s="270"/>
    </row>
    <row r="368" spans="1:82" s="265" customFormat="1" x14ac:dyDescent="0.3">
      <c r="A368" s="262"/>
      <c r="B368" s="262"/>
      <c r="C368" s="262"/>
      <c r="D368" s="263"/>
      <c r="E368" s="264"/>
      <c r="F368" s="262"/>
      <c r="J368" s="266"/>
      <c r="U368" s="267"/>
      <c r="W368" s="268"/>
      <c r="Y368" s="268"/>
      <c r="Z368" s="258"/>
      <c r="AA368" s="258"/>
      <c r="AB368" s="258"/>
      <c r="AC368" s="258"/>
      <c r="AD368" s="258"/>
      <c r="AE368" s="258"/>
      <c r="AF368" s="258"/>
      <c r="AG368" s="258"/>
      <c r="AH368" s="258"/>
      <c r="AI368" s="258"/>
      <c r="AJ368" s="258"/>
      <c r="AK368" s="269"/>
      <c r="AL368" s="258"/>
      <c r="AM368" s="270"/>
      <c r="AN368" s="271"/>
      <c r="AO368" s="258"/>
      <c r="AP368" s="259"/>
      <c r="AQ368" s="258"/>
      <c r="AR368" s="258"/>
      <c r="AS368" s="258"/>
      <c r="AT368" s="269"/>
      <c r="AU368" s="258"/>
      <c r="AV368" s="258"/>
      <c r="AW368" s="258"/>
      <c r="AX368" s="260"/>
      <c r="AY368" s="260"/>
      <c r="AZ368" s="259"/>
      <c r="BA368" s="259"/>
      <c r="BB368" s="259"/>
      <c r="BC368" s="259"/>
      <c r="BD368" s="259"/>
      <c r="BE368" s="258"/>
      <c r="BF368" s="258"/>
      <c r="BG368" s="258"/>
      <c r="BH368" s="258"/>
      <c r="BI368" s="258"/>
      <c r="BJ368" s="258"/>
      <c r="BK368" s="258"/>
      <c r="BL368" s="272"/>
      <c r="BM368" s="272"/>
      <c r="BN368" s="273"/>
      <c r="BO368" s="270"/>
      <c r="BP368" s="270"/>
      <c r="BQ368" s="270"/>
      <c r="BR368" s="270"/>
      <c r="BS368" s="270"/>
      <c r="BT368" s="273"/>
      <c r="BU368" s="258"/>
      <c r="BV368" s="269"/>
      <c r="BY368" s="261"/>
      <c r="BZ368" s="261"/>
      <c r="CD368" s="270"/>
    </row>
    <row r="369" spans="1:82" s="265" customFormat="1" x14ac:dyDescent="0.3">
      <c r="A369" s="262"/>
      <c r="B369" s="262"/>
      <c r="C369" s="262"/>
      <c r="D369" s="263"/>
      <c r="E369" s="264"/>
      <c r="F369" s="262"/>
      <c r="J369" s="266"/>
      <c r="U369" s="267"/>
      <c r="W369" s="268"/>
      <c r="Y369" s="268"/>
      <c r="Z369" s="258"/>
      <c r="AA369" s="258"/>
      <c r="AB369" s="258"/>
      <c r="AC369" s="258"/>
      <c r="AD369" s="258"/>
      <c r="AE369" s="258"/>
      <c r="AF369" s="258"/>
      <c r="AG369" s="258"/>
      <c r="AH369" s="258"/>
      <c r="AI369" s="258"/>
      <c r="AJ369" s="258"/>
      <c r="AK369" s="269"/>
      <c r="AL369" s="258"/>
      <c r="AM369" s="270"/>
      <c r="AN369" s="271"/>
      <c r="AO369" s="258"/>
      <c r="AP369" s="259"/>
      <c r="AQ369" s="258"/>
      <c r="AR369" s="258"/>
      <c r="AS369" s="258"/>
      <c r="AT369" s="269"/>
      <c r="AU369" s="258"/>
      <c r="AV369" s="258"/>
      <c r="AW369" s="258"/>
      <c r="AX369" s="260"/>
      <c r="AY369" s="260"/>
      <c r="AZ369" s="259"/>
      <c r="BA369" s="259"/>
      <c r="BB369" s="259"/>
      <c r="BC369" s="259"/>
      <c r="BD369" s="259"/>
      <c r="BE369" s="258"/>
      <c r="BF369" s="258"/>
      <c r="BG369" s="258"/>
      <c r="BH369" s="258"/>
      <c r="BI369" s="258"/>
      <c r="BJ369" s="258"/>
      <c r="BK369" s="258"/>
      <c r="BL369" s="272"/>
      <c r="BM369" s="272"/>
      <c r="BN369" s="273"/>
      <c r="BO369" s="270"/>
      <c r="BP369" s="270"/>
      <c r="BQ369" s="270"/>
      <c r="BR369" s="270"/>
      <c r="BS369" s="270"/>
      <c r="BT369" s="273"/>
      <c r="BU369" s="258"/>
      <c r="BV369" s="269"/>
      <c r="BY369" s="261"/>
      <c r="BZ369" s="261"/>
      <c r="CD369" s="270"/>
    </row>
    <row r="370" spans="1:82" s="265" customFormat="1" x14ac:dyDescent="0.3">
      <c r="A370" s="262"/>
      <c r="B370" s="262"/>
      <c r="C370" s="262"/>
      <c r="D370" s="263"/>
      <c r="E370" s="264"/>
      <c r="F370" s="262"/>
      <c r="J370" s="266"/>
      <c r="U370" s="267"/>
      <c r="W370" s="268"/>
      <c r="Y370" s="268"/>
      <c r="Z370" s="258"/>
      <c r="AA370" s="258"/>
      <c r="AB370" s="258"/>
      <c r="AC370" s="258"/>
      <c r="AD370" s="258"/>
      <c r="AE370" s="258"/>
      <c r="AF370" s="258"/>
      <c r="AG370" s="258"/>
      <c r="AH370" s="258"/>
      <c r="AI370" s="258"/>
      <c r="AJ370" s="258"/>
      <c r="AK370" s="269"/>
      <c r="AL370" s="258"/>
      <c r="AM370" s="270"/>
      <c r="AN370" s="271"/>
      <c r="AO370" s="258"/>
      <c r="AP370" s="259"/>
      <c r="AQ370" s="258"/>
      <c r="AR370" s="258"/>
      <c r="AS370" s="258"/>
      <c r="AT370" s="269"/>
      <c r="AU370" s="258"/>
      <c r="AV370" s="258"/>
      <c r="AW370" s="258"/>
      <c r="AX370" s="260"/>
      <c r="AY370" s="260"/>
      <c r="AZ370" s="259"/>
      <c r="BA370" s="259"/>
      <c r="BB370" s="259"/>
      <c r="BC370" s="259"/>
      <c r="BD370" s="259"/>
      <c r="BE370" s="258"/>
      <c r="BF370" s="258"/>
      <c r="BG370" s="258"/>
      <c r="BH370" s="258"/>
      <c r="BI370" s="258"/>
      <c r="BJ370" s="258"/>
      <c r="BK370" s="258"/>
      <c r="BL370" s="272"/>
      <c r="BM370" s="272"/>
      <c r="BN370" s="273"/>
      <c r="BO370" s="270"/>
      <c r="BP370" s="270"/>
      <c r="BQ370" s="270"/>
      <c r="BR370" s="270"/>
      <c r="BS370" s="270"/>
      <c r="BT370" s="273"/>
      <c r="BU370" s="258"/>
      <c r="BV370" s="269"/>
      <c r="BY370" s="261"/>
      <c r="BZ370" s="261"/>
      <c r="CD370" s="270"/>
    </row>
    <row r="371" spans="1:82" s="265" customFormat="1" x14ac:dyDescent="0.3">
      <c r="A371" s="262"/>
      <c r="B371" s="262"/>
      <c r="C371" s="262"/>
      <c r="D371" s="263"/>
      <c r="E371" s="264"/>
      <c r="F371" s="262"/>
      <c r="J371" s="266"/>
      <c r="U371" s="267"/>
      <c r="W371" s="268"/>
      <c r="Y371" s="268"/>
      <c r="Z371" s="258"/>
      <c r="AA371" s="258"/>
      <c r="AB371" s="258"/>
      <c r="AC371" s="258"/>
      <c r="AD371" s="258"/>
      <c r="AE371" s="258"/>
      <c r="AF371" s="258"/>
      <c r="AG371" s="258"/>
      <c r="AH371" s="258"/>
      <c r="AI371" s="258"/>
      <c r="AJ371" s="258"/>
      <c r="AK371" s="269"/>
      <c r="AL371" s="258"/>
      <c r="AM371" s="270"/>
      <c r="AN371" s="271"/>
      <c r="AO371" s="258"/>
      <c r="AP371" s="259"/>
      <c r="AQ371" s="258"/>
      <c r="AR371" s="258"/>
      <c r="AS371" s="258"/>
      <c r="AT371" s="269"/>
      <c r="AU371" s="258"/>
      <c r="AV371" s="258"/>
      <c r="AW371" s="258"/>
      <c r="AX371" s="260"/>
      <c r="AY371" s="260"/>
      <c r="AZ371" s="259"/>
      <c r="BA371" s="259"/>
      <c r="BB371" s="259"/>
      <c r="BC371" s="259"/>
      <c r="BD371" s="259"/>
      <c r="BE371" s="258"/>
      <c r="BF371" s="258"/>
      <c r="BG371" s="258"/>
      <c r="BH371" s="258"/>
      <c r="BI371" s="258"/>
      <c r="BJ371" s="258"/>
      <c r="BK371" s="258"/>
      <c r="BL371" s="272"/>
      <c r="BM371" s="272"/>
      <c r="BN371" s="273"/>
      <c r="BO371" s="270"/>
      <c r="BP371" s="270"/>
      <c r="BQ371" s="270"/>
      <c r="BR371" s="270"/>
      <c r="BS371" s="270"/>
      <c r="BT371" s="273"/>
      <c r="BU371" s="258"/>
      <c r="BV371" s="269"/>
      <c r="BY371" s="261"/>
      <c r="BZ371" s="261"/>
      <c r="CD371" s="270"/>
    </row>
    <row r="372" spans="1:82" s="265" customFormat="1" x14ac:dyDescent="0.3">
      <c r="A372" s="262"/>
      <c r="B372" s="262"/>
      <c r="C372" s="262"/>
      <c r="D372" s="263"/>
      <c r="E372" s="264"/>
      <c r="F372" s="262"/>
      <c r="J372" s="247"/>
      <c r="U372" s="267"/>
      <c r="W372" s="268"/>
      <c r="Y372" s="268"/>
      <c r="Z372" s="258"/>
      <c r="AA372" s="258"/>
      <c r="AB372" s="258"/>
      <c r="AC372" s="258"/>
      <c r="AD372" s="258"/>
      <c r="AE372" s="258"/>
      <c r="AF372" s="258"/>
      <c r="AG372" s="258"/>
      <c r="AH372" s="258"/>
      <c r="AI372" s="258"/>
      <c r="AJ372" s="258"/>
      <c r="AK372" s="269"/>
      <c r="AL372" s="258"/>
      <c r="AM372" s="270"/>
      <c r="AN372" s="271"/>
      <c r="AO372" s="258"/>
      <c r="AP372" s="259"/>
      <c r="AQ372" s="258"/>
      <c r="AR372" s="258"/>
      <c r="AS372" s="258"/>
      <c r="AT372" s="269"/>
      <c r="AU372" s="258"/>
      <c r="AV372" s="258"/>
      <c r="AW372" s="258"/>
      <c r="AX372" s="260"/>
      <c r="AY372" s="260"/>
      <c r="AZ372" s="259"/>
      <c r="BA372" s="259"/>
      <c r="BB372" s="259"/>
      <c r="BC372" s="259"/>
      <c r="BD372" s="259"/>
      <c r="BE372" s="258"/>
      <c r="BF372" s="258"/>
      <c r="BG372" s="258"/>
      <c r="BH372" s="258"/>
      <c r="BI372" s="258"/>
      <c r="BJ372" s="258"/>
      <c r="BK372" s="258"/>
      <c r="BL372" s="272"/>
      <c r="BM372" s="272"/>
      <c r="BN372" s="273"/>
      <c r="BO372" s="270"/>
      <c r="BP372" s="270"/>
      <c r="BQ372" s="270"/>
      <c r="BR372" s="270"/>
      <c r="BS372" s="270"/>
      <c r="BT372" s="273"/>
      <c r="BU372" s="258"/>
      <c r="BV372" s="269"/>
      <c r="BY372" s="261"/>
      <c r="BZ372" s="261"/>
      <c r="CD372" s="270"/>
    </row>
    <row r="373" spans="1:82" s="265" customFormat="1" x14ac:dyDescent="0.3">
      <c r="A373" s="262"/>
      <c r="B373" s="262"/>
      <c r="C373" s="262"/>
      <c r="D373" s="263"/>
      <c r="E373" s="264"/>
      <c r="F373" s="262"/>
      <c r="J373" s="256"/>
      <c r="U373" s="267"/>
      <c r="W373" s="268"/>
      <c r="Y373" s="268"/>
      <c r="Z373" s="258"/>
      <c r="AA373" s="258"/>
      <c r="AB373" s="258"/>
      <c r="AC373" s="258"/>
      <c r="AD373" s="258"/>
      <c r="AE373" s="258"/>
      <c r="AF373" s="258"/>
      <c r="AG373" s="258"/>
      <c r="AH373" s="258"/>
      <c r="AI373" s="258"/>
      <c r="AJ373" s="258"/>
      <c r="AK373" s="269"/>
      <c r="AL373" s="258"/>
      <c r="AM373" s="270"/>
      <c r="AN373" s="271"/>
      <c r="AO373" s="258"/>
      <c r="AP373" s="259"/>
      <c r="AQ373" s="258"/>
      <c r="AR373" s="258"/>
      <c r="AS373" s="258"/>
      <c r="AT373" s="269"/>
      <c r="AU373" s="258"/>
      <c r="AV373" s="258"/>
      <c r="AW373" s="258"/>
      <c r="AX373" s="260"/>
      <c r="AY373" s="260"/>
      <c r="AZ373" s="259"/>
      <c r="BA373" s="259"/>
      <c r="BB373" s="259"/>
      <c r="BC373" s="259"/>
      <c r="BD373" s="259"/>
      <c r="BE373" s="258"/>
      <c r="BF373" s="258"/>
      <c r="BG373" s="258"/>
      <c r="BH373" s="258"/>
      <c r="BI373" s="258"/>
      <c r="BJ373" s="258"/>
      <c r="BK373" s="258"/>
      <c r="BL373" s="272"/>
      <c r="BM373" s="272"/>
      <c r="BN373" s="273"/>
      <c r="BO373" s="270"/>
      <c r="BP373" s="270"/>
      <c r="BQ373" s="270"/>
      <c r="BR373" s="270"/>
      <c r="BS373" s="270"/>
      <c r="BT373" s="273"/>
      <c r="BU373" s="258"/>
      <c r="BV373" s="269"/>
      <c r="BY373" s="261"/>
      <c r="BZ373" s="261"/>
      <c r="CD373" s="270"/>
    </row>
    <row r="374" spans="1:82" s="265" customFormat="1" x14ac:dyDescent="0.3">
      <c r="A374" s="262"/>
      <c r="B374" s="262"/>
      <c r="C374" s="262"/>
      <c r="D374" s="263"/>
      <c r="E374" s="264"/>
      <c r="F374" s="262"/>
      <c r="J374" s="238"/>
      <c r="U374" s="267"/>
      <c r="W374" s="268"/>
      <c r="Y374" s="268"/>
      <c r="Z374" s="258"/>
      <c r="AA374" s="258"/>
      <c r="AB374" s="258"/>
      <c r="AC374" s="258"/>
      <c r="AD374" s="258"/>
      <c r="AE374" s="258"/>
      <c r="AF374" s="258"/>
      <c r="AG374" s="258"/>
      <c r="AH374" s="258"/>
      <c r="AI374" s="258"/>
      <c r="AJ374" s="258"/>
      <c r="AK374" s="269"/>
      <c r="AL374" s="258"/>
      <c r="AM374" s="270"/>
      <c r="AN374" s="271"/>
      <c r="AO374" s="258"/>
      <c r="AP374" s="259"/>
      <c r="AQ374" s="258"/>
      <c r="AR374" s="258"/>
      <c r="AS374" s="258"/>
      <c r="AT374" s="269"/>
      <c r="AU374" s="258"/>
      <c r="AV374" s="258"/>
      <c r="AW374" s="258"/>
      <c r="AX374" s="260"/>
      <c r="AY374" s="260"/>
      <c r="AZ374" s="259"/>
      <c r="BA374" s="259"/>
      <c r="BB374" s="259"/>
      <c r="BC374" s="259"/>
      <c r="BD374" s="259"/>
      <c r="BE374" s="258"/>
      <c r="BF374" s="258"/>
      <c r="BG374" s="258"/>
      <c r="BH374" s="258"/>
      <c r="BI374" s="258"/>
      <c r="BJ374" s="258"/>
      <c r="BK374" s="258"/>
      <c r="BL374" s="272"/>
      <c r="BM374" s="272"/>
      <c r="BN374" s="273"/>
      <c r="BO374" s="270"/>
      <c r="BP374" s="270"/>
      <c r="BQ374" s="270"/>
      <c r="BR374" s="270"/>
      <c r="BS374" s="270"/>
      <c r="BT374" s="273"/>
      <c r="BU374" s="258"/>
      <c r="BV374" s="269"/>
      <c r="BY374" s="261"/>
      <c r="BZ374" s="261"/>
      <c r="CD374" s="270"/>
    </row>
    <row r="375" spans="1:82" s="265" customFormat="1" x14ac:dyDescent="0.3">
      <c r="A375" s="262"/>
      <c r="B375" s="262"/>
      <c r="C375" s="262"/>
      <c r="D375" s="263"/>
      <c r="E375" s="264"/>
      <c r="F375" s="262"/>
      <c r="J375" s="277"/>
      <c r="U375" s="267"/>
      <c r="W375" s="268"/>
      <c r="Y375" s="268"/>
      <c r="Z375" s="258"/>
      <c r="AA375" s="258"/>
      <c r="AB375" s="258"/>
      <c r="AC375" s="258"/>
      <c r="AD375" s="258"/>
      <c r="AE375" s="258"/>
      <c r="AF375" s="258"/>
      <c r="AG375" s="258"/>
      <c r="AH375" s="258"/>
      <c r="AI375" s="258"/>
      <c r="AJ375" s="258"/>
      <c r="AK375" s="269"/>
      <c r="AL375" s="258"/>
      <c r="AM375" s="270"/>
      <c r="AN375" s="271"/>
      <c r="AO375" s="258"/>
      <c r="AP375" s="259"/>
      <c r="AQ375" s="258"/>
      <c r="AR375" s="258"/>
      <c r="AS375" s="258"/>
      <c r="AT375" s="269"/>
      <c r="AU375" s="258"/>
      <c r="AV375" s="258"/>
      <c r="AW375" s="258"/>
      <c r="AX375" s="260"/>
      <c r="AY375" s="260"/>
      <c r="AZ375" s="259"/>
      <c r="BA375" s="259"/>
      <c r="BB375" s="259"/>
      <c r="BC375" s="259"/>
      <c r="BD375" s="259"/>
      <c r="BE375" s="258"/>
      <c r="BF375" s="258"/>
      <c r="BG375" s="258"/>
      <c r="BH375" s="258"/>
      <c r="BI375" s="258"/>
      <c r="BJ375" s="258"/>
      <c r="BK375" s="258"/>
      <c r="BL375" s="272"/>
      <c r="BM375" s="272"/>
      <c r="BN375" s="273"/>
      <c r="BO375" s="270"/>
      <c r="BP375" s="270"/>
      <c r="BQ375" s="270"/>
      <c r="BR375" s="270"/>
      <c r="BS375" s="270"/>
      <c r="BT375" s="273"/>
      <c r="BU375" s="258"/>
      <c r="BV375" s="269"/>
      <c r="BY375" s="261"/>
      <c r="BZ375" s="261"/>
      <c r="CD375" s="270"/>
    </row>
    <row r="376" spans="1:82" s="265" customFormat="1" x14ac:dyDescent="0.3">
      <c r="A376" s="262"/>
      <c r="B376" s="262"/>
      <c r="C376" s="262"/>
      <c r="D376" s="263"/>
      <c r="E376" s="264"/>
      <c r="F376" s="262"/>
      <c r="J376" s="277"/>
      <c r="U376" s="267"/>
      <c r="W376" s="268"/>
      <c r="Y376" s="268"/>
      <c r="Z376" s="258"/>
      <c r="AA376" s="258"/>
      <c r="AB376" s="258"/>
      <c r="AC376" s="258"/>
      <c r="AD376" s="258"/>
      <c r="AE376" s="258"/>
      <c r="AF376" s="258"/>
      <c r="AG376" s="258"/>
      <c r="AH376" s="258"/>
      <c r="AI376" s="258"/>
      <c r="AJ376" s="258"/>
      <c r="AK376" s="269"/>
      <c r="AL376" s="258"/>
      <c r="AM376" s="270"/>
      <c r="AN376" s="271"/>
      <c r="AO376" s="258"/>
      <c r="AP376" s="259"/>
      <c r="AQ376" s="258"/>
      <c r="AR376" s="258"/>
      <c r="AS376" s="258"/>
      <c r="AT376" s="269"/>
      <c r="AU376" s="258"/>
      <c r="AV376" s="258"/>
      <c r="AW376" s="258"/>
      <c r="AX376" s="260"/>
      <c r="AY376" s="260"/>
      <c r="AZ376" s="259"/>
      <c r="BA376" s="259"/>
      <c r="BB376" s="259"/>
      <c r="BC376" s="259"/>
      <c r="BD376" s="259"/>
      <c r="BE376" s="258"/>
      <c r="BF376" s="258"/>
      <c r="BG376" s="258"/>
      <c r="BH376" s="258"/>
      <c r="BI376" s="258"/>
      <c r="BJ376" s="258"/>
      <c r="BK376" s="258"/>
      <c r="BL376" s="272"/>
      <c r="BM376" s="272"/>
      <c r="BN376" s="273"/>
      <c r="BO376" s="270"/>
      <c r="BP376" s="270"/>
      <c r="BQ376" s="270"/>
      <c r="BR376" s="270"/>
      <c r="BS376" s="270"/>
      <c r="BT376" s="273"/>
      <c r="BU376" s="258"/>
      <c r="BV376" s="269"/>
      <c r="BY376" s="261"/>
      <c r="BZ376" s="261"/>
      <c r="CD376" s="270"/>
    </row>
    <row r="377" spans="1:82" s="265" customFormat="1" x14ac:dyDescent="0.3">
      <c r="A377" s="262"/>
      <c r="B377" s="262"/>
      <c r="C377" s="262"/>
      <c r="D377" s="263"/>
      <c r="E377" s="264"/>
      <c r="F377" s="262"/>
      <c r="J377" s="277"/>
      <c r="U377" s="267"/>
      <c r="W377" s="268"/>
      <c r="Y377" s="268"/>
      <c r="Z377" s="258"/>
      <c r="AA377" s="258"/>
      <c r="AB377" s="258"/>
      <c r="AC377" s="258"/>
      <c r="AD377" s="258"/>
      <c r="AE377" s="258"/>
      <c r="AF377" s="258"/>
      <c r="AG377" s="258"/>
      <c r="AH377" s="258"/>
      <c r="AI377" s="258"/>
      <c r="AJ377" s="258"/>
      <c r="AK377" s="269"/>
      <c r="AL377" s="258"/>
      <c r="AM377" s="270"/>
      <c r="AN377" s="271"/>
      <c r="AO377" s="258"/>
      <c r="AP377" s="259"/>
      <c r="AQ377" s="258"/>
      <c r="AR377" s="258"/>
      <c r="AS377" s="258"/>
      <c r="AT377" s="269"/>
      <c r="AU377" s="258"/>
      <c r="AV377" s="258"/>
      <c r="AW377" s="258"/>
      <c r="AX377" s="260"/>
      <c r="AY377" s="260"/>
      <c r="AZ377" s="259"/>
      <c r="BA377" s="259"/>
      <c r="BB377" s="259"/>
      <c r="BC377" s="259"/>
      <c r="BD377" s="259"/>
      <c r="BE377" s="258"/>
      <c r="BF377" s="258"/>
      <c r="BG377" s="258"/>
      <c r="BH377" s="258"/>
      <c r="BI377" s="258"/>
      <c r="BJ377" s="258"/>
      <c r="BK377" s="258"/>
      <c r="BL377" s="272"/>
      <c r="BM377" s="272"/>
      <c r="BN377" s="273"/>
      <c r="BO377" s="270"/>
      <c r="BP377" s="270"/>
      <c r="BQ377" s="270"/>
      <c r="BR377" s="270"/>
      <c r="BS377" s="270"/>
      <c r="BT377" s="273"/>
      <c r="BU377" s="258"/>
      <c r="BV377" s="269"/>
      <c r="BY377" s="261"/>
      <c r="BZ377" s="261"/>
      <c r="CD377" s="270"/>
    </row>
    <row r="378" spans="1:82" s="265" customFormat="1" x14ac:dyDescent="0.3">
      <c r="A378" s="262"/>
      <c r="B378" s="262"/>
      <c r="C378" s="262"/>
      <c r="D378" s="263"/>
      <c r="E378" s="264"/>
      <c r="F378" s="262"/>
      <c r="J378" s="277"/>
      <c r="U378" s="267"/>
      <c r="W378" s="268"/>
      <c r="Y378" s="268"/>
      <c r="Z378" s="258"/>
      <c r="AA378" s="258"/>
      <c r="AB378" s="258"/>
      <c r="AC378" s="258"/>
      <c r="AD378" s="258"/>
      <c r="AE378" s="258"/>
      <c r="AF378" s="258"/>
      <c r="AG378" s="258"/>
      <c r="AH378" s="258"/>
      <c r="AI378" s="258"/>
      <c r="AJ378" s="258"/>
      <c r="AK378" s="269"/>
      <c r="AL378" s="258"/>
      <c r="AM378" s="270"/>
      <c r="AN378" s="271"/>
      <c r="AO378" s="258"/>
      <c r="AP378" s="259"/>
      <c r="AQ378" s="258"/>
      <c r="AR378" s="258"/>
      <c r="AS378" s="258"/>
      <c r="AT378" s="269"/>
      <c r="AU378" s="258"/>
      <c r="AV378" s="258"/>
      <c r="AW378" s="258"/>
      <c r="AX378" s="260"/>
      <c r="AY378" s="260"/>
      <c r="AZ378" s="259"/>
      <c r="BA378" s="259"/>
      <c r="BB378" s="259"/>
      <c r="BC378" s="259"/>
      <c r="BD378" s="259"/>
      <c r="BE378" s="258"/>
      <c r="BF378" s="258"/>
      <c r="BG378" s="258"/>
      <c r="BH378" s="258"/>
      <c r="BI378" s="258"/>
      <c r="BJ378" s="258"/>
      <c r="BK378" s="258"/>
      <c r="BL378" s="272"/>
      <c r="BM378" s="272"/>
      <c r="BN378" s="273"/>
      <c r="BO378" s="270"/>
      <c r="BP378" s="270"/>
      <c r="BQ378" s="270"/>
      <c r="BR378" s="270"/>
      <c r="BS378" s="270"/>
      <c r="BT378" s="273"/>
      <c r="BU378" s="258"/>
      <c r="BV378" s="269"/>
      <c r="BY378" s="261"/>
      <c r="BZ378" s="261"/>
      <c r="CD378" s="270"/>
    </row>
    <row r="379" spans="1:82" s="265" customFormat="1" x14ac:dyDescent="0.3">
      <c r="A379" s="262"/>
      <c r="B379" s="262"/>
      <c r="C379" s="262"/>
      <c r="D379" s="263"/>
      <c r="E379" s="264"/>
      <c r="F379" s="262"/>
      <c r="J379" s="277"/>
      <c r="U379" s="267"/>
      <c r="W379" s="268"/>
      <c r="Y379" s="268"/>
      <c r="Z379" s="258"/>
      <c r="AA379" s="258"/>
      <c r="AB379" s="258"/>
      <c r="AC379" s="258"/>
      <c r="AD379" s="258"/>
      <c r="AE379" s="258"/>
      <c r="AF379" s="258"/>
      <c r="AG379" s="258"/>
      <c r="AH379" s="258"/>
      <c r="AI379" s="258"/>
      <c r="AJ379" s="258"/>
      <c r="AK379" s="269"/>
      <c r="AL379" s="258"/>
      <c r="AM379" s="270"/>
      <c r="AN379" s="271"/>
      <c r="AO379" s="258"/>
      <c r="AP379" s="259"/>
      <c r="AQ379" s="258"/>
      <c r="AR379" s="258"/>
      <c r="AS379" s="258"/>
      <c r="AT379" s="269"/>
      <c r="AU379" s="258"/>
      <c r="AV379" s="258"/>
      <c r="AW379" s="258"/>
      <c r="AX379" s="260"/>
      <c r="AY379" s="260"/>
      <c r="AZ379" s="259"/>
      <c r="BA379" s="259"/>
      <c r="BB379" s="259"/>
      <c r="BC379" s="259"/>
      <c r="BD379" s="259"/>
      <c r="BE379" s="258"/>
      <c r="BF379" s="258"/>
      <c r="BG379" s="258"/>
      <c r="BH379" s="258"/>
      <c r="BI379" s="258"/>
      <c r="BJ379" s="258"/>
      <c r="BK379" s="258"/>
      <c r="BL379" s="272"/>
      <c r="BM379" s="272"/>
      <c r="BN379" s="273"/>
      <c r="BO379" s="270"/>
      <c r="BP379" s="270"/>
      <c r="BQ379" s="270"/>
      <c r="BR379" s="270"/>
      <c r="BS379" s="270"/>
      <c r="BT379" s="273"/>
      <c r="BU379" s="258"/>
      <c r="BV379" s="269"/>
      <c r="BY379" s="261"/>
      <c r="BZ379" s="261"/>
      <c r="CD379" s="270"/>
    </row>
    <row r="380" spans="1:82" s="265" customFormat="1" x14ac:dyDescent="0.3">
      <c r="A380" s="262"/>
      <c r="B380" s="262"/>
      <c r="C380" s="262"/>
      <c r="D380" s="263"/>
      <c r="E380" s="264"/>
      <c r="F380" s="262"/>
      <c r="J380" s="266"/>
      <c r="U380" s="267"/>
      <c r="W380" s="268"/>
      <c r="Y380" s="268"/>
      <c r="Z380" s="258"/>
      <c r="AA380" s="258"/>
      <c r="AB380" s="258"/>
      <c r="AC380" s="258"/>
      <c r="AD380" s="258"/>
      <c r="AE380" s="258"/>
      <c r="AF380" s="258"/>
      <c r="AG380" s="258"/>
      <c r="AH380" s="258"/>
      <c r="AI380" s="258"/>
      <c r="AJ380" s="258"/>
      <c r="AK380" s="269"/>
      <c r="AL380" s="258"/>
      <c r="AM380" s="270"/>
      <c r="AN380" s="271"/>
      <c r="AO380" s="258"/>
      <c r="AP380" s="259"/>
      <c r="AQ380" s="258"/>
      <c r="AR380" s="258"/>
      <c r="AS380" s="258"/>
      <c r="AT380" s="269"/>
      <c r="AU380" s="258"/>
      <c r="AV380" s="258"/>
      <c r="AW380" s="258"/>
      <c r="AX380" s="260"/>
      <c r="AY380" s="260"/>
      <c r="AZ380" s="259"/>
      <c r="BA380" s="259"/>
      <c r="BB380" s="259"/>
      <c r="BC380" s="259"/>
      <c r="BD380" s="259"/>
      <c r="BE380" s="258"/>
      <c r="BF380" s="258"/>
      <c r="BG380" s="258"/>
      <c r="BH380" s="258"/>
      <c r="BI380" s="258"/>
      <c r="BJ380" s="258"/>
      <c r="BK380" s="258"/>
      <c r="BL380" s="272"/>
      <c r="BM380" s="272"/>
      <c r="BN380" s="273"/>
      <c r="BO380" s="270"/>
      <c r="BP380" s="270"/>
      <c r="BQ380" s="270"/>
      <c r="BR380" s="270"/>
      <c r="BS380" s="270"/>
      <c r="BT380" s="273"/>
      <c r="BU380" s="258"/>
      <c r="BV380" s="269"/>
      <c r="BY380" s="261"/>
      <c r="BZ380" s="261"/>
      <c r="CD380" s="270"/>
    </row>
    <row r="381" spans="1:82" s="265" customFormat="1" x14ac:dyDescent="0.3">
      <c r="A381" s="262"/>
      <c r="B381" s="262"/>
      <c r="C381" s="262"/>
      <c r="D381" s="263"/>
      <c r="E381" s="264"/>
      <c r="F381" s="262"/>
      <c r="J381" s="238"/>
      <c r="U381" s="267"/>
      <c r="W381" s="268"/>
      <c r="Y381" s="268"/>
      <c r="Z381" s="258"/>
      <c r="AA381" s="258"/>
      <c r="AB381" s="258"/>
      <c r="AC381" s="258"/>
      <c r="AD381" s="258"/>
      <c r="AE381" s="258"/>
      <c r="AF381" s="258"/>
      <c r="AG381" s="258"/>
      <c r="AH381" s="258"/>
      <c r="AI381" s="258"/>
      <c r="AJ381" s="258"/>
      <c r="AK381" s="269"/>
      <c r="AL381" s="258"/>
      <c r="AM381" s="270"/>
      <c r="AN381" s="271"/>
      <c r="AO381" s="258"/>
      <c r="AP381" s="259"/>
      <c r="AQ381" s="258"/>
      <c r="AR381" s="258"/>
      <c r="AS381" s="258"/>
      <c r="AT381" s="269"/>
      <c r="AU381" s="258"/>
      <c r="AV381" s="258"/>
      <c r="AW381" s="258"/>
      <c r="AX381" s="260"/>
      <c r="AY381" s="260"/>
      <c r="AZ381" s="259"/>
      <c r="BA381" s="259"/>
      <c r="BB381" s="259"/>
      <c r="BC381" s="259"/>
      <c r="BD381" s="259"/>
      <c r="BE381" s="258"/>
      <c r="BF381" s="258"/>
      <c r="BG381" s="258"/>
      <c r="BH381" s="258"/>
      <c r="BI381" s="258"/>
      <c r="BJ381" s="258"/>
      <c r="BK381" s="258"/>
      <c r="BL381" s="272"/>
      <c r="BM381" s="272"/>
      <c r="BN381" s="273"/>
      <c r="BO381" s="270"/>
      <c r="BP381" s="270"/>
      <c r="BQ381" s="270"/>
      <c r="BR381" s="270"/>
      <c r="BS381" s="270"/>
      <c r="BT381" s="273"/>
      <c r="BU381" s="258"/>
      <c r="BV381" s="269"/>
      <c r="BY381" s="261"/>
      <c r="BZ381" s="261"/>
      <c r="CD381" s="270"/>
    </row>
    <row r="382" spans="1:82" s="265" customFormat="1" x14ac:dyDescent="0.3">
      <c r="A382" s="262"/>
      <c r="B382" s="262"/>
      <c r="C382" s="262"/>
      <c r="D382" s="263"/>
      <c r="E382" s="264"/>
      <c r="F382" s="262"/>
      <c r="J382" s="266"/>
      <c r="U382" s="267"/>
      <c r="W382" s="268"/>
      <c r="Y382" s="268"/>
      <c r="Z382" s="258"/>
      <c r="AA382" s="258"/>
      <c r="AB382" s="258"/>
      <c r="AC382" s="258"/>
      <c r="AD382" s="258"/>
      <c r="AE382" s="258"/>
      <c r="AF382" s="258"/>
      <c r="AG382" s="258"/>
      <c r="AH382" s="258"/>
      <c r="AI382" s="258"/>
      <c r="AJ382" s="258"/>
      <c r="AK382" s="269"/>
      <c r="AL382" s="258"/>
      <c r="AM382" s="270"/>
      <c r="AN382" s="271"/>
      <c r="AO382" s="258"/>
      <c r="AP382" s="259"/>
      <c r="AQ382" s="258"/>
      <c r="AR382" s="258"/>
      <c r="AS382" s="258"/>
      <c r="AT382" s="269"/>
      <c r="AU382" s="258"/>
      <c r="AV382" s="258"/>
      <c r="AW382" s="258"/>
      <c r="AX382" s="260"/>
      <c r="AY382" s="260"/>
      <c r="AZ382" s="259"/>
      <c r="BA382" s="259"/>
      <c r="BB382" s="259"/>
      <c r="BC382" s="259"/>
      <c r="BD382" s="259"/>
      <c r="BE382" s="258"/>
      <c r="BF382" s="258"/>
      <c r="BG382" s="258"/>
      <c r="BH382" s="258"/>
      <c r="BI382" s="258"/>
      <c r="BJ382" s="258"/>
      <c r="BK382" s="258"/>
      <c r="BL382" s="272"/>
      <c r="BM382" s="272"/>
      <c r="BN382" s="273"/>
      <c r="BO382" s="270"/>
      <c r="BP382" s="270"/>
      <c r="BQ382" s="270"/>
      <c r="BR382" s="270"/>
      <c r="BS382" s="270"/>
      <c r="BT382" s="273"/>
      <c r="BU382" s="258"/>
      <c r="BV382" s="269"/>
      <c r="BY382" s="261"/>
      <c r="BZ382" s="261"/>
      <c r="CD382" s="270"/>
    </row>
    <row r="383" spans="1:82" s="265" customFormat="1" x14ac:dyDescent="0.3">
      <c r="A383" s="262"/>
      <c r="B383" s="262"/>
      <c r="C383" s="262"/>
      <c r="D383" s="263"/>
      <c r="E383" s="264"/>
      <c r="F383" s="262"/>
      <c r="J383" s="266"/>
      <c r="U383" s="267"/>
      <c r="W383" s="268"/>
      <c r="Y383" s="268"/>
      <c r="Z383" s="258"/>
      <c r="AA383" s="258"/>
      <c r="AB383" s="258"/>
      <c r="AC383" s="258"/>
      <c r="AD383" s="258"/>
      <c r="AE383" s="258"/>
      <c r="AF383" s="258"/>
      <c r="AG383" s="258"/>
      <c r="AH383" s="258"/>
      <c r="AI383" s="258"/>
      <c r="AJ383" s="258"/>
      <c r="AK383" s="269"/>
      <c r="AL383" s="258"/>
      <c r="AM383" s="270"/>
      <c r="AN383" s="271"/>
      <c r="AO383" s="258"/>
      <c r="AP383" s="259"/>
      <c r="AQ383" s="258"/>
      <c r="AR383" s="258"/>
      <c r="AS383" s="258"/>
      <c r="AT383" s="269"/>
      <c r="AU383" s="258"/>
      <c r="AV383" s="258"/>
      <c r="AW383" s="258"/>
      <c r="AX383" s="260"/>
      <c r="AY383" s="260"/>
      <c r="AZ383" s="259"/>
      <c r="BA383" s="259"/>
      <c r="BB383" s="259"/>
      <c r="BC383" s="259"/>
      <c r="BD383" s="259"/>
      <c r="BE383" s="258"/>
      <c r="BF383" s="258"/>
      <c r="BG383" s="258"/>
      <c r="BH383" s="258"/>
      <c r="BI383" s="258"/>
      <c r="BJ383" s="258"/>
      <c r="BK383" s="258"/>
      <c r="BL383" s="272"/>
      <c r="BM383" s="272"/>
      <c r="BN383" s="273"/>
      <c r="BO383" s="270"/>
      <c r="BP383" s="270"/>
      <c r="BQ383" s="270"/>
      <c r="BR383" s="270"/>
      <c r="BS383" s="270"/>
      <c r="BT383" s="273"/>
      <c r="BU383" s="258"/>
      <c r="BV383" s="269"/>
      <c r="BY383" s="261"/>
      <c r="BZ383" s="261"/>
      <c r="CD383" s="270"/>
    </row>
    <row r="384" spans="1:82" s="265" customFormat="1" x14ac:dyDescent="0.3">
      <c r="A384" s="262"/>
      <c r="B384" s="262"/>
      <c r="C384" s="262"/>
      <c r="D384" s="263"/>
      <c r="E384" s="264"/>
      <c r="F384" s="262"/>
      <c r="J384" s="266"/>
      <c r="U384" s="267"/>
      <c r="W384" s="268"/>
      <c r="Y384" s="268"/>
      <c r="Z384" s="258"/>
      <c r="AA384" s="258"/>
      <c r="AB384" s="258"/>
      <c r="AC384" s="258"/>
      <c r="AD384" s="258"/>
      <c r="AE384" s="258"/>
      <c r="AF384" s="258"/>
      <c r="AG384" s="258"/>
      <c r="AH384" s="258"/>
      <c r="AI384" s="258"/>
      <c r="AJ384" s="258"/>
      <c r="AK384" s="269"/>
      <c r="AL384" s="258"/>
      <c r="AM384" s="270"/>
      <c r="AN384" s="271"/>
      <c r="AO384" s="258"/>
      <c r="AP384" s="259"/>
      <c r="AQ384" s="258"/>
      <c r="AR384" s="258"/>
      <c r="AS384" s="258"/>
      <c r="AT384" s="269"/>
      <c r="AU384" s="258"/>
      <c r="AV384" s="258"/>
      <c r="AW384" s="258"/>
      <c r="AX384" s="260"/>
      <c r="AY384" s="260"/>
      <c r="AZ384" s="259"/>
      <c r="BA384" s="259"/>
      <c r="BB384" s="259"/>
      <c r="BC384" s="259"/>
      <c r="BD384" s="259"/>
      <c r="BE384" s="258"/>
      <c r="BF384" s="258"/>
      <c r="BG384" s="258"/>
      <c r="BH384" s="258"/>
      <c r="BI384" s="258"/>
      <c r="BJ384" s="258"/>
      <c r="BK384" s="258"/>
      <c r="BL384" s="272"/>
      <c r="BM384" s="272"/>
      <c r="BN384" s="273"/>
      <c r="BO384" s="270"/>
      <c r="BP384" s="270"/>
      <c r="BQ384" s="270"/>
      <c r="BR384" s="270"/>
      <c r="BS384" s="270"/>
      <c r="BT384" s="273"/>
      <c r="BU384" s="258"/>
      <c r="BV384" s="269"/>
      <c r="BY384" s="261"/>
      <c r="BZ384" s="261"/>
      <c r="CD384" s="270"/>
    </row>
    <row r="385" spans="1:82" s="265" customFormat="1" x14ac:dyDescent="0.3">
      <c r="A385" s="262"/>
      <c r="B385" s="262"/>
      <c r="C385" s="262"/>
      <c r="D385" s="263"/>
      <c r="E385" s="264"/>
      <c r="F385" s="262"/>
      <c r="J385" s="266"/>
      <c r="U385" s="267"/>
      <c r="W385" s="268"/>
      <c r="Y385" s="268"/>
      <c r="Z385" s="258"/>
      <c r="AA385" s="258"/>
      <c r="AB385" s="258"/>
      <c r="AC385" s="258"/>
      <c r="AD385" s="258"/>
      <c r="AE385" s="258"/>
      <c r="AF385" s="258"/>
      <c r="AG385" s="258"/>
      <c r="AH385" s="258"/>
      <c r="AI385" s="258"/>
      <c r="AJ385" s="258"/>
      <c r="AK385" s="269"/>
      <c r="AL385" s="258"/>
      <c r="AM385" s="270"/>
      <c r="AN385" s="271"/>
      <c r="AO385" s="258"/>
      <c r="AP385" s="259"/>
      <c r="AQ385" s="258"/>
      <c r="AR385" s="258"/>
      <c r="AS385" s="258"/>
      <c r="AT385" s="269"/>
      <c r="AU385" s="258"/>
      <c r="AV385" s="258"/>
      <c r="AW385" s="258"/>
      <c r="AX385" s="260"/>
      <c r="AY385" s="260"/>
      <c r="AZ385" s="259"/>
      <c r="BA385" s="259"/>
      <c r="BB385" s="259"/>
      <c r="BC385" s="259"/>
      <c r="BD385" s="259"/>
      <c r="BE385" s="258"/>
      <c r="BF385" s="258"/>
      <c r="BG385" s="258"/>
      <c r="BH385" s="258"/>
      <c r="BI385" s="258"/>
      <c r="BJ385" s="258"/>
      <c r="BK385" s="258"/>
      <c r="BL385" s="272"/>
      <c r="BM385" s="272"/>
      <c r="BN385" s="273"/>
      <c r="BO385" s="270"/>
      <c r="BP385" s="270"/>
      <c r="BQ385" s="270"/>
      <c r="BR385" s="270"/>
      <c r="BS385" s="270"/>
      <c r="BT385" s="273"/>
      <c r="BU385" s="258"/>
      <c r="BV385" s="269"/>
      <c r="BY385" s="261"/>
      <c r="BZ385" s="261"/>
      <c r="CD385" s="270"/>
    </row>
    <row r="386" spans="1:82" s="265" customFormat="1" x14ac:dyDescent="0.3">
      <c r="A386" s="262"/>
      <c r="B386" s="262"/>
      <c r="C386" s="262"/>
      <c r="D386" s="263"/>
      <c r="E386" s="264"/>
      <c r="F386" s="262"/>
      <c r="J386" s="266"/>
      <c r="U386" s="267"/>
      <c r="W386" s="268"/>
      <c r="Y386" s="268"/>
      <c r="Z386" s="258"/>
      <c r="AA386" s="258"/>
      <c r="AB386" s="258"/>
      <c r="AC386" s="258"/>
      <c r="AD386" s="258"/>
      <c r="AE386" s="258"/>
      <c r="AF386" s="258"/>
      <c r="AG386" s="258"/>
      <c r="AH386" s="258"/>
      <c r="AI386" s="258"/>
      <c r="AJ386" s="258"/>
      <c r="AK386" s="269"/>
      <c r="AL386" s="258"/>
      <c r="AM386" s="270"/>
      <c r="AN386" s="271"/>
      <c r="AO386" s="258"/>
      <c r="AP386" s="259"/>
      <c r="AQ386" s="258"/>
      <c r="AR386" s="258"/>
      <c r="AS386" s="258"/>
      <c r="AT386" s="269"/>
      <c r="AU386" s="258"/>
      <c r="AV386" s="258"/>
      <c r="AW386" s="258"/>
      <c r="AX386" s="260"/>
      <c r="AY386" s="260"/>
      <c r="AZ386" s="259"/>
      <c r="BA386" s="259"/>
      <c r="BB386" s="259"/>
      <c r="BC386" s="259"/>
      <c r="BD386" s="259"/>
      <c r="BE386" s="258"/>
      <c r="BF386" s="258"/>
      <c r="BG386" s="258"/>
      <c r="BH386" s="258"/>
      <c r="BI386" s="258"/>
      <c r="BJ386" s="258"/>
      <c r="BK386" s="258"/>
      <c r="BL386" s="272"/>
      <c r="BM386" s="272"/>
      <c r="BN386" s="273"/>
      <c r="BO386" s="270"/>
      <c r="BP386" s="270"/>
      <c r="BQ386" s="270"/>
      <c r="BR386" s="270"/>
      <c r="BS386" s="270"/>
      <c r="BT386" s="273"/>
      <c r="BU386" s="258"/>
      <c r="BV386" s="269"/>
      <c r="BY386" s="261"/>
      <c r="BZ386" s="261"/>
      <c r="CD386" s="270"/>
    </row>
    <row r="387" spans="1:82" s="265" customFormat="1" x14ac:dyDescent="0.3">
      <c r="A387" s="262"/>
      <c r="B387" s="262"/>
      <c r="C387" s="262"/>
      <c r="D387" s="263"/>
      <c r="E387" s="264"/>
      <c r="F387" s="262"/>
      <c r="J387" s="266"/>
      <c r="U387" s="267"/>
      <c r="W387" s="268"/>
      <c r="Y387" s="268"/>
      <c r="Z387" s="258"/>
      <c r="AA387" s="258"/>
      <c r="AB387" s="258"/>
      <c r="AC387" s="258"/>
      <c r="AD387" s="258"/>
      <c r="AE387" s="258"/>
      <c r="AF387" s="258"/>
      <c r="AG387" s="258"/>
      <c r="AH387" s="258"/>
      <c r="AI387" s="258"/>
      <c r="AJ387" s="258"/>
      <c r="AK387" s="269"/>
      <c r="AL387" s="258"/>
      <c r="AM387" s="270"/>
      <c r="AN387" s="271"/>
      <c r="AO387" s="258"/>
      <c r="AP387" s="259"/>
      <c r="AQ387" s="258"/>
      <c r="AR387" s="258"/>
      <c r="AS387" s="258"/>
      <c r="AT387" s="269"/>
      <c r="AU387" s="258"/>
      <c r="AV387" s="258"/>
      <c r="AW387" s="258"/>
      <c r="AX387" s="260"/>
      <c r="AY387" s="260"/>
      <c r="AZ387" s="259"/>
      <c r="BA387" s="259"/>
      <c r="BB387" s="259"/>
      <c r="BC387" s="259"/>
      <c r="BD387" s="259"/>
      <c r="BE387" s="258"/>
      <c r="BF387" s="258"/>
      <c r="BG387" s="258"/>
      <c r="BH387" s="258"/>
      <c r="BI387" s="258"/>
      <c r="BJ387" s="258"/>
      <c r="BK387" s="258"/>
      <c r="BL387" s="272"/>
      <c r="BM387" s="272"/>
      <c r="BN387" s="273"/>
      <c r="BO387" s="270"/>
      <c r="BP387" s="270"/>
      <c r="BQ387" s="270"/>
      <c r="BR387" s="270"/>
      <c r="BS387" s="270"/>
      <c r="BT387" s="273"/>
      <c r="BU387" s="258"/>
      <c r="BV387" s="269"/>
      <c r="BY387" s="261"/>
      <c r="BZ387" s="261"/>
      <c r="CD387" s="270"/>
    </row>
    <row r="388" spans="1:82" s="265" customFormat="1" x14ac:dyDescent="0.3">
      <c r="A388" s="262"/>
      <c r="B388" s="262"/>
      <c r="C388" s="262"/>
      <c r="D388" s="263"/>
      <c r="E388" s="264"/>
      <c r="F388" s="262"/>
      <c r="J388" s="266"/>
      <c r="U388" s="267"/>
      <c r="W388" s="268"/>
      <c r="Y388" s="268"/>
      <c r="Z388" s="258"/>
      <c r="AA388" s="258"/>
      <c r="AB388" s="258"/>
      <c r="AC388" s="258"/>
      <c r="AD388" s="258"/>
      <c r="AE388" s="258"/>
      <c r="AF388" s="258"/>
      <c r="AG388" s="258"/>
      <c r="AH388" s="258"/>
      <c r="AI388" s="258"/>
      <c r="AJ388" s="258"/>
      <c r="AK388" s="269"/>
      <c r="AL388" s="258"/>
      <c r="AM388" s="270"/>
      <c r="AN388" s="271"/>
      <c r="AO388" s="258"/>
      <c r="AP388" s="259"/>
      <c r="AQ388" s="258"/>
      <c r="AR388" s="258"/>
      <c r="AS388" s="258"/>
      <c r="AT388" s="269"/>
      <c r="AU388" s="258"/>
      <c r="AV388" s="258"/>
      <c r="AW388" s="258"/>
      <c r="AX388" s="260"/>
      <c r="AY388" s="260"/>
      <c r="AZ388" s="259"/>
      <c r="BA388" s="259"/>
      <c r="BB388" s="259"/>
      <c r="BC388" s="259"/>
      <c r="BD388" s="259"/>
      <c r="BE388" s="258"/>
      <c r="BF388" s="258"/>
      <c r="BG388" s="258"/>
      <c r="BH388" s="258"/>
      <c r="BI388" s="258"/>
      <c r="BJ388" s="258"/>
      <c r="BK388" s="258"/>
      <c r="BL388" s="272"/>
      <c r="BM388" s="272"/>
      <c r="BN388" s="273"/>
      <c r="BO388" s="270"/>
      <c r="BP388" s="270"/>
      <c r="BQ388" s="270"/>
      <c r="BR388" s="270"/>
      <c r="BS388" s="270"/>
      <c r="BT388" s="273"/>
      <c r="BU388" s="258"/>
      <c r="BV388" s="269"/>
      <c r="BY388" s="261"/>
      <c r="BZ388" s="261"/>
      <c r="CD388" s="270"/>
    </row>
    <row r="389" spans="1:82" s="265" customFormat="1" x14ac:dyDescent="0.3">
      <c r="A389" s="262"/>
      <c r="B389" s="262"/>
      <c r="C389" s="262"/>
      <c r="D389" s="263"/>
      <c r="E389" s="264"/>
      <c r="F389" s="262"/>
      <c r="J389" s="266"/>
      <c r="U389" s="267"/>
      <c r="W389" s="268"/>
      <c r="Y389" s="268"/>
      <c r="Z389" s="258"/>
      <c r="AA389" s="258"/>
      <c r="AB389" s="258"/>
      <c r="AC389" s="258"/>
      <c r="AD389" s="258"/>
      <c r="AE389" s="258"/>
      <c r="AF389" s="258"/>
      <c r="AG389" s="258"/>
      <c r="AH389" s="258"/>
      <c r="AI389" s="258"/>
      <c r="AJ389" s="258"/>
      <c r="AK389" s="269"/>
      <c r="AL389" s="258"/>
      <c r="AM389" s="270"/>
      <c r="AN389" s="271"/>
      <c r="AO389" s="258"/>
      <c r="AP389" s="259"/>
      <c r="AQ389" s="258"/>
      <c r="AR389" s="258"/>
      <c r="AS389" s="258"/>
      <c r="AT389" s="269"/>
      <c r="AU389" s="258"/>
      <c r="AV389" s="258"/>
      <c r="AW389" s="258"/>
      <c r="AX389" s="260"/>
      <c r="AY389" s="260"/>
      <c r="AZ389" s="259"/>
      <c r="BA389" s="259"/>
      <c r="BB389" s="259"/>
      <c r="BC389" s="259"/>
      <c r="BD389" s="259"/>
      <c r="BE389" s="258"/>
      <c r="BF389" s="258"/>
      <c r="BG389" s="258"/>
      <c r="BH389" s="258"/>
      <c r="BI389" s="258"/>
      <c r="BJ389" s="258"/>
      <c r="BK389" s="258"/>
      <c r="BL389" s="272"/>
      <c r="BM389" s="272"/>
      <c r="BN389" s="273"/>
      <c r="BO389" s="270"/>
      <c r="BP389" s="270"/>
      <c r="BQ389" s="270"/>
      <c r="BR389" s="270"/>
      <c r="BS389" s="270"/>
      <c r="BT389" s="273"/>
      <c r="BU389" s="258"/>
      <c r="BV389" s="269"/>
      <c r="BY389" s="261"/>
      <c r="BZ389" s="261"/>
      <c r="CD389" s="270"/>
    </row>
    <row r="390" spans="1:82" s="265" customFormat="1" x14ac:dyDescent="0.3">
      <c r="A390" s="262"/>
      <c r="B390" s="262"/>
      <c r="C390" s="262"/>
      <c r="D390" s="263"/>
      <c r="E390" s="264"/>
      <c r="F390" s="262"/>
      <c r="J390" s="266"/>
      <c r="U390" s="267"/>
      <c r="W390" s="268"/>
      <c r="Y390" s="268"/>
      <c r="Z390" s="258"/>
      <c r="AA390" s="258"/>
      <c r="AB390" s="258"/>
      <c r="AC390" s="258"/>
      <c r="AD390" s="258"/>
      <c r="AE390" s="258"/>
      <c r="AF390" s="258"/>
      <c r="AG390" s="258"/>
      <c r="AH390" s="258"/>
      <c r="AI390" s="258"/>
      <c r="AJ390" s="258"/>
      <c r="AK390" s="269"/>
      <c r="AL390" s="258"/>
      <c r="AM390" s="270"/>
      <c r="AN390" s="271"/>
      <c r="AO390" s="258"/>
      <c r="AP390" s="259"/>
      <c r="AQ390" s="258"/>
      <c r="AR390" s="258"/>
      <c r="AS390" s="258"/>
      <c r="AT390" s="269"/>
      <c r="AU390" s="258"/>
      <c r="AV390" s="258"/>
      <c r="AW390" s="258"/>
      <c r="AX390" s="260"/>
      <c r="AY390" s="260"/>
      <c r="AZ390" s="259"/>
      <c r="BA390" s="259"/>
      <c r="BB390" s="259"/>
      <c r="BC390" s="259"/>
      <c r="BD390" s="259"/>
      <c r="BE390" s="258"/>
      <c r="BF390" s="258"/>
      <c r="BG390" s="258"/>
      <c r="BH390" s="258"/>
      <c r="BI390" s="258"/>
      <c r="BJ390" s="258"/>
      <c r="BK390" s="258"/>
      <c r="BL390" s="272"/>
      <c r="BM390" s="272"/>
      <c r="BN390" s="273"/>
      <c r="BO390" s="270"/>
      <c r="BP390" s="270"/>
      <c r="BQ390" s="270"/>
      <c r="BR390" s="270"/>
      <c r="BS390" s="270"/>
      <c r="BT390" s="273"/>
      <c r="BU390" s="258"/>
      <c r="BV390" s="269"/>
      <c r="BY390" s="261"/>
      <c r="BZ390" s="261"/>
      <c r="CD390" s="270"/>
    </row>
    <row r="391" spans="1:82" s="265" customFormat="1" x14ac:dyDescent="0.3">
      <c r="A391" s="262"/>
      <c r="B391" s="262"/>
      <c r="C391" s="262"/>
      <c r="D391" s="263"/>
      <c r="E391" s="264"/>
      <c r="F391" s="262"/>
      <c r="J391" s="266"/>
      <c r="U391" s="267"/>
      <c r="W391" s="268"/>
      <c r="Y391" s="268"/>
      <c r="Z391" s="258"/>
      <c r="AA391" s="258"/>
      <c r="AB391" s="258"/>
      <c r="AC391" s="258"/>
      <c r="AD391" s="258"/>
      <c r="AE391" s="258"/>
      <c r="AF391" s="258"/>
      <c r="AG391" s="258"/>
      <c r="AH391" s="258"/>
      <c r="AI391" s="258"/>
      <c r="AJ391" s="258"/>
      <c r="AK391" s="269"/>
      <c r="AL391" s="258"/>
      <c r="AM391" s="270"/>
      <c r="AN391" s="271"/>
      <c r="AO391" s="258"/>
      <c r="AP391" s="259"/>
      <c r="AQ391" s="258"/>
      <c r="AR391" s="258"/>
      <c r="AS391" s="258"/>
      <c r="AT391" s="269"/>
      <c r="AU391" s="258"/>
      <c r="AV391" s="258"/>
      <c r="AW391" s="258"/>
      <c r="AX391" s="260"/>
      <c r="AY391" s="260"/>
      <c r="AZ391" s="259"/>
      <c r="BA391" s="259"/>
      <c r="BB391" s="259"/>
      <c r="BC391" s="259"/>
      <c r="BD391" s="259"/>
      <c r="BE391" s="258"/>
      <c r="BF391" s="258"/>
      <c r="BG391" s="258"/>
      <c r="BH391" s="258"/>
      <c r="BI391" s="258"/>
      <c r="BJ391" s="258"/>
      <c r="BK391" s="258"/>
      <c r="BL391" s="272"/>
      <c r="BM391" s="272"/>
      <c r="BN391" s="273"/>
      <c r="BO391" s="270"/>
      <c r="BP391" s="270"/>
      <c r="BQ391" s="270"/>
      <c r="BR391" s="270"/>
      <c r="BS391" s="270"/>
      <c r="BT391" s="273"/>
      <c r="BU391" s="258"/>
      <c r="BV391" s="269"/>
      <c r="BY391" s="261"/>
      <c r="BZ391" s="261"/>
      <c r="CD391" s="270"/>
    </row>
    <row r="392" spans="1:82" s="265" customFormat="1" x14ac:dyDescent="0.3">
      <c r="A392" s="262"/>
      <c r="B392" s="262"/>
      <c r="C392" s="262"/>
      <c r="D392" s="263"/>
      <c r="E392" s="264"/>
      <c r="F392" s="262"/>
      <c r="J392" s="266"/>
      <c r="U392" s="267"/>
      <c r="W392" s="268"/>
      <c r="Y392" s="268"/>
      <c r="Z392" s="258"/>
      <c r="AA392" s="258"/>
      <c r="AB392" s="258"/>
      <c r="AC392" s="258"/>
      <c r="AD392" s="258"/>
      <c r="AE392" s="258"/>
      <c r="AF392" s="258"/>
      <c r="AG392" s="258"/>
      <c r="AH392" s="258"/>
      <c r="AI392" s="258"/>
      <c r="AJ392" s="258"/>
      <c r="AK392" s="269"/>
      <c r="AL392" s="258"/>
      <c r="AM392" s="270"/>
      <c r="AN392" s="271"/>
      <c r="AO392" s="258"/>
      <c r="AP392" s="259"/>
      <c r="AQ392" s="258"/>
      <c r="AR392" s="258"/>
      <c r="AS392" s="258"/>
      <c r="AT392" s="269"/>
      <c r="AU392" s="258"/>
      <c r="AV392" s="258"/>
      <c r="AW392" s="258"/>
      <c r="AX392" s="260"/>
      <c r="AY392" s="260"/>
      <c r="AZ392" s="259"/>
      <c r="BA392" s="259"/>
      <c r="BB392" s="259"/>
      <c r="BC392" s="259"/>
      <c r="BD392" s="259"/>
      <c r="BE392" s="258"/>
      <c r="BF392" s="258"/>
      <c r="BG392" s="258"/>
      <c r="BH392" s="258"/>
      <c r="BI392" s="258"/>
      <c r="BJ392" s="258"/>
      <c r="BK392" s="258"/>
      <c r="BL392" s="272"/>
      <c r="BM392" s="272"/>
      <c r="BN392" s="273"/>
      <c r="BO392" s="270"/>
      <c r="BP392" s="270"/>
      <c r="BQ392" s="270"/>
      <c r="BR392" s="270"/>
      <c r="BS392" s="270"/>
      <c r="BT392" s="273"/>
      <c r="BU392" s="258"/>
      <c r="BV392" s="269"/>
      <c r="BY392" s="261"/>
      <c r="BZ392" s="261"/>
      <c r="CD392" s="270"/>
    </row>
    <row r="393" spans="1:82" s="265" customFormat="1" x14ac:dyDescent="0.3">
      <c r="A393" s="262"/>
      <c r="B393" s="262"/>
      <c r="C393" s="262"/>
      <c r="D393" s="263"/>
      <c r="E393" s="264"/>
      <c r="F393" s="262"/>
      <c r="J393" s="266"/>
      <c r="U393" s="267"/>
      <c r="W393" s="268"/>
      <c r="Y393" s="268"/>
      <c r="Z393" s="258"/>
      <c r="AA393" s="258"/>
      <c r="AB393" s="258"/>
      <c r="AC393" s="258"/>
      <c r="AD393" s="258"/>
      <c r="AE393" s="258"/>
      <c r="AF393" s="258"/>
      <c r="AG393" s="258"/>
      <c r="AH393" s="258"/>
      <c r="AI393" s="258"/>
      <c r="AJ393" s="258"/>
      <c r="AK393" s="269"/>
      <c r="AL393" s="258"/>
      <c r="AM393" s="270"/>
      <c r="AN393" s="271"/>
      <c r="AO393" s="258"/>
      <c r="AP393" s="259"/>
      <c r="AQ393" s="258"/>
      <c r="AR393" s="258"/>
      <c r="AS393" s="258"/>
      <c r="AT393" s="269"/>
      <c r="AU393" s="258"/>
      <c r="AV393" s="258"/>
      <c r="AW393" s="258"/>
      <c r="AX393" s="260"/>
      <c r="AY393" s="260"/>
      <c r="AZ393" s="259"/>
      <c r="BA393" s="259"/>
      <c r="BB393" s="259"/>
      <c r="BC393" s="259"/>
      <c r="BD393" s="259"/>
      <c r="BE393" s="258"/>
      <c r="BF393" s="258"/>
      <c r="BG393" s="258"/>
      <c r="BH393" s="258"/>
      <c r="BI393" s="258"/>
      <c r="BJ393" s="258"/>
      <c r="BK393" s="258"/>
      <c r="BL393" s="272"/>
      <c r="BM393" s="272"/>
      <c r="BN393" s="273"/>
      <c r="BO393" s="270"/>
      <c r="BP393" s="270"/>
      <c r="BQ393" s="270"/>
      <c r="BR393" s="270"/>
      <c r="BS393" s="270"/>
      <c r="BT393" s="273"/>
      <c r="BU393" s="258"/>
      <c r="BV393" s="269"/>
      <c r="BY393" s="261"/>
      <c r="BZ393" s="261"/>
      <c r="CD393" s="270"/>
    </row>
    <row r="394" spans="1:82" s="265" customFormat="1" x14ac:dyDescent="0.3">
      <c r="A394" s="262"/>
      <c r="B394" s="262"/>
      <c r="C394" s="262"/>
      <c r="D394" s="263"/>
      <c r="E394" s="264"/>
      <c r="F394" s="262"/>
      <c r="J394" s="266"/>
      <c r="U394" s="267"/>
      <c r="W394" s="268"/>
      <c r="Y394" s="268"/>
      <c r="Z394" s="258"/>
      <c r="AA394" s="258"/>
      <c r="AB394" s="258"/>
      <c r="AC394" s="258"/>
      <c r="AD394" s="258"/>
      <c r="AE394" s="258"/>
      <c r="AF394" s="258"/>
      <c r="AG394" s="258"/>
      <c r="AH394" s="258"/>
      <c r="AI394" s="258"/>
      <c r="AJ394" s="258"/>
      <c r="AK394" s="269"/>
      <c r="AL394" s="258"/>
      <c r="AM394" s="270"/>
      <c r="AN394" s="271"/>
      <c r="AO394" s="258"/>
      <c r="AP394" s="259"/>
      <c r="AQ394" s="258"/>
      <c r="AR394" s="258"/>
      <c r="AS394" s="258"/>
      <c r="AT394" s="269"/>
      <c r="AU394" s="258"/>
      <c r="AV394" s="258"/>
      <c r="AW394" s="258"/>
      <c r="AX394" s="260"/>
      <c r="AY394" s="260"/>
      <c r="AZ394" s="259"/>
      <c r="BA394" s="259"/>
      <c r="BB394" s="259"/>
      <c r="BC394" s="259"/>
      <c r="BD394" s="259"/>
      <c r="BE394" s="258"/>
      <c r="BF394" s="258"/>
      <c r="BG394" s="258"/>
      <c r="BH394" s="258"/>
      <c r="BI394" s="258"/>
      <c r="BJ394" s="258"/>
      <c r="BK394" s="258"/>
      <c r="BL394" s="272"/>
      <c r="BM394" s="272"/>
      <c r="BN394" s="273"/>
      <c r="BO394" s="270"/>
      <c r="BP394" s="270"/>
      <c r="BQ394" s="270"/>
      <c r="BR394" s="270"/>
      <c r="BS394" s="270"/>
      <c r="BT394" s="273"/>
      <c r="BU394" s="258"/>
      <c r="BV394" s="269"/>
      <c r="BY394" s="261"/>
      <c r="BZ394" s="261"/>
      <c r="CD394" s="270"/>
    </row>
    <row r="395" spans="1:82" s="265" customFormat="1" x14ac:dyDescent="0.3">
      <c r="A395" s="262"/>
      <c r="B395" s="262"/>
      <c r="C395" s="262"/>
      <c r="D395" s="263"/>
      <c r="E395" s="264"/>
      <c r="F395" s="262"/>
      <c r="J395" s="266"/>
      <c r="U395" s="267"/>
      <c r="W395" s="268"/>
      <c r="Y395" s="268"/>
      <c r="Z395" s="258"/>
      <c r="AA395" s="258"/>
      <c r="AB395" s="258"/>
      <c r="AC395" s="258"/>
      <c r="AD395" s="258"/>
      <c r="AE395" s="258"/>
      <c r="AF395" s="258"/>
      <c r="AG395" s="258"/>
      <c r="AH395" s="258"/>
      <c r="AI395" s="258"/>
      <c r="AJ395" s="258"/>
      <c r="AK395" s="269"/>
      <c r="AL395" s="258"/>
      <c r="AM395" s="270"/>
      <c r="AN395" s="271"/>
      <c r="AO395" s="258"/>
      <c r="AP395" s="259"/>
      <c r="AQ395" s="258"/>
      <c r="AR395" s="258"/>
      <c r="AS395" s="258"/>
      <c r="AT395" s="269"/>
      <c r="AU395" s="258"/>
      <c r="AV395" s="258"/>
      <c r="AW395" s="258"/>
      <c r="AX395" s="260"/>
      <c r="AY395" s="260"/>
      <c r="AZ395" s="259"/>
      <c r="BA395" s="259"/>
      <c r="BB395" s="259"/>
      <c r="BC395" s="259"/>
      <c r="BD395" s="259"/>
      <c r="BE395" s="258"/>
      <c r="BF395" s="258"/>
      <c r="BG395" s="258"/>
      <c r="BH395" s="258"/>
      <c r="BI395" s="258"/>
      <c r="BJ395" s="258"/>
      <c r="BK395" s="258"/>
      <c r="BL395" s="272"/>
      <c r="BM395" s="272"/>
      <c r="BN395" s="273"/>
      <c r="BO395" s="270"/>
      <c r="BP395" s="270"/>
      <c r="BQ395" s="270"/>
      <c r="BR395" s="270"/>
      <c r="BS395" s="270"/>
      <c r="BT395" s="273"/>
      <c r="BU395" s="258"/>
      <c r="BV395" s="269"/>
      <c r="BY395" s="261"/>
      <c r="BZ395" s="261"/>
      <c r="CD395" s="270"/>
    </row>
    <row r="396" spans="1:82" s="265" customFormat="1" x14ac:dyDescent="0.3">
      <c r="A396" s="262"/>
      <c r="B396" s="262"/>
      <c r="C396" s="262"/>
      <c r="D396" s="263"/>
      <c r="E396" s="264"/>
      <c r="F396" s="262"/>
      <c r="J396" s="266"/>
      <c r="U396" s="267"/>
      <c r="W396" s="268"/>
      <c r="Y396" s="268"/>
      <c r="Z396" s="258"/>
      <c r="AA396" s="258"/>
      <c r="AB396" s="258"/>
      <c r="AC396" s="258"/>
      <c r="AD396" s="258"/>
      <c r="AE396" s="258"/>
      <c r="AF396" s="258"/>
      <c r="AG396" s="258"/>
      <c r="AH396" s="258"/>
      <c r="AI396" s="258"/>
      <c r="AJ396" s="258"/>
      <c r="AK396" s="269"/>
      <c r="AL396" s="258"/>
      <c r="AM396" s="270"/>
      <c r="AN396" s="271"/>
      <c r="AO396" s="258"/>
      <c r="AP396" s="259"/>
      <c r="AQ396" s="258"/>
      <c r="AR396" s="258"/>
      <c r="AS396" s="258"/>
      <c r="AT396" s="269"/>
      <c r="AU396" s="258"/>
      <c r="AV396" s="258"/>
      <c r="AW396" s="258"/>
      <c r="AX396" s="260"/>
      <c r="AY396" s="260"/>
      <c r="AZ396" s="259"/>
      <c r="BA396" s="259"/>
      <c r="BB396" s="259"/>
      <c r="BC396" s="259"/>
      <c r="BD396" s="259"/>
      <c r="BE396" s="258"/>
      <c r="BF396" s="258"/>
      <c r="BG396" s="258"/>
      <c r="BH396" s="258"/>
      <c r="BI396" s="258"/>
      <c r="BJ396" s="258"/>
      <c r="BK396" s="258"/>
      <c r="BL396" s="272"/>
      <c r="BM396" s="272"/>
      <c r="BN396" s="273"/>
      <c r="BO396" s="270"/>
      <c r="BP396" s="270"/>
      <c r="BQ396" s="270"/>
      <c r="BR396" s="270"/>
      <c r="BS396" s="270"/>
      <c r="BT396" s="273"/>
      <c r="BU396" s="258"/>
      <c r="BV396" s="269"/>
      <c r="BY396" s="261"/>
      <c r="BZ396" s="261"/>
      <c r="CD396" s="270"/>
    </row>
    <row r="397" spans="1:82" s="265" customFormat="1" x14ac:dyDescent="0.3">
      <c r="A397" s="262"/>
      <c r="B397" s="262"/>
      <c r="C397" s="262"/>
      <c r="D397" s="263"/>
      <c r="E397" s="264"/>
      <c r="F397" s="262"/>
      <c r="J397" s="266"/>
      <c r="U397" s="267"/>
      <c r="W397" s="268"/>
      <c r="Y397" s="268"/>
      <c r="Z397" s="258"/>
      <c r="AA397" s="258"/>
      <c r="AB397" s="258"/>
      <c r="AC397" s="258"/>
      <c r="AD397" s="258"/>
      <c r="AE397" s="258"/>
      <c r="AF397" s="258"/>
      <c r="AG397" s="258"/>
      <c r="AH397" s="258"/>
      <c r="AI397" s="258"/>
      <c r="AJ397" s="258"/>
      <c r="AK397" s="269"/>
      <c r="AL397" s="258"/>
      <c r="AM397" s="270"/>
      <c r="AN397" s="271"/>
      <c r="AO397" s="258"/>
      <c r="AP397" s="259"/>
      <c r="AQ397" s="258"/>
      <c r="AR397" s="258"/>
      <c r="AS397" s="258"/>
      <c r="AT397" s="269"/>
      <c r="AU397" s="258"/>
      <c r="AV397" s="258"/>
      <c r="AW397" s="258"/>
      <c r="AX397" s="260"/>
      <c r="AY397" s="260"/>
      <c r="AZ397" s="259"/>
      <c r="BA397" s="259"/>
      <c r="BB397" s="259"/>
      <c r="BC397" s="259"/>
      <c r="BD397" s="259"/>
      <c r="BE397" s="258"/>
      <c r="BF397" s="258"/>
      <c r="BG397" s="258"/>
      <c r="BH397" s="258"/>
      <c r="BI397" s="258"/>
      <c r="BJ397" s="258"/>
      <c r="BK397" s="258"/>
      <c r="BL397" s="272"/>
      <c r="BM397" s="272"/>
      <c r="BN397" s="273"/>
      <c r="BO397" s="270"/>
      <c r="BP397" s="270"/>
      <c r="BQ397" s="270"/>
      <c r="BR397" s="270"/>
      <c r="BS397" s="270"/>
      <c r="BT397" s="273"/>
      <c r="BU397" s="258"/>
      <c r="BV397" s="269"/>
      <c r="BY397" s="261"/>
      <c r="BZ397" s="261"/>
      <c r="CD397" s="270"/>
    </row>
    <row r="398" spans="1:82" s="265" customFormat="1" x14ac:dyDescent="0.3">
      <c r="A398" s="262"/>
      <c r="B398" s="262"/>
      <c r="C398" s="262"/>
      <c r="D398" s="263"/>
      <c r="E398" s="264"/>
      <c r="F398" s="262"/>
      <c r="J398" s="266"/>
      <c r="U398" s="267"/>
      <c r="W398" s="268"/>
      <c r="Y398" s="268"/>
      <c r="Z398" s="258"/>
      <c r="AA398" s="258"/>
      <c r="AB398" s="258"/>
      <c r="AC398" s="258"/>
      <c r="AD398" s="258"/>
      <c r="AE398" s="258"/>
      <c r="AF398" s="258"/>
      <c r="AG398" s="258"/>
      <c r="AH398" s="258"/>
      <c r="AI398" s="258"/>
      <c r="AJ398" s="258"/>
      <c r="AK398" s="269"/>
      <c r="AL398" s="258"/>
      <c r="AM398" s="270"/>
      <c r="AN398" s="271"/>
      <c r="AO398" s="258"/>
      <c r="AP398" s="259"/>
      <c r="AQ398" s="258"/>
      <c r="AR398" s="258"/>
      <c r="AS398" s="258"/>
      <c r="AT398" s="269"/>
      <c r="AU398" s="258"/>
      <c r="AV398" s="258"/>
      <c r="AW398" s="258"/>
      <c r="AX398" s="260"/>
      <c r="AY398" s="260"/>
      <c r="AZ398" s="259"/>
      <c r="BA398" s="259"/>
      <c r="BB398" s="259"/>
      <c r="BC398" s="259"/>
      <c r="BD398" s="259"/>
      <c r="BE398" s="258"/>
      <c r="BF398" s="258"/>
      <c r="BG398" s="258"/>
      <c r="BH398" s="258"/>
      <c r="BI398" s="258"/>
      <c r="BJ398" s="258"/>
      <c r="BK398" s="258"/>
      <c r="BL398" s="272"/>
      <c r="BM398" s="272"/>
      <c r="BN398" s="273"/>
      <c r="BO398" s="270"/>
      <c r="BP398" s="270"/>
      <c r="BQ398" s="270"/>
      <c r="BR398" s="270"/>
      <c r="BS398" s="270"/>
      <c r="BT398" s="273"/>
      <c r="BU398" s="258"/>
      <c r="BV398" s="269"/>
      <c r="BY398" s="261"/>
      <c r="BZ398" s="261"/>
      <c r="CD398" s="270"/>
    </row>
    <row r="399" spans="1:82" s="265" customFormat="1" x14ac:dyDescent="0.3">
      <c r="A399" s="262"/>
      <c r="B399" s="262"/>
      <c r="C399" s="262"/>
      <c r="D399" s="263"/>
      <c r="E399" s="264"/>
      <c r="F399" s="262"/>
      <c r="J399" s="266"/>
      <c r="U399" s="267"/>
      <c r="W399" s="268"/>
      <c r="Y399" s="268"/>
      <c r="Z399" s="258"/>
      <c r="AA399" s="258"/>
      <c r="AB399" s="258"/>
      <c r="AC399" s="258"/>
      <c r="AD399" s="258"/>
      <c r="AE399" s="258"/>
      <c r="AF399" s="258"/>
      <c r="AG399" s="258"/>
      <c r="AH399" s="258"/>
      <c r="AI399" s="258"/>
      <c r="AJ399" s="258"/>
      <c r="AK399" s="269"/>
      <c r="AL399" s="258"/>
      <c r="AM399" s="270"/>
      <c r="AN399" s="271"/>
      <c r="AO399" s="258"/>
      <c r="AP399" s="259"/>
      <c r="AQ399" s="258"/>
      <c r="AR399" s="258"/>
      <c r="AS399" s="258"/>
      <c r="AT399" s="269"/>
      <c r="AU399" s="258"/>
      <c r="AV399" s="258"/>
      <c r="AW399" s="258"/>
      <c r="AX399" s="260"/>
      <c r="AY399" s="260"/>
      <c r="AZ399" s="259"/>
      <c r="BA399" s="259"/>
      <c r="BB399" s="259"/>
      <c r="BC399" s="259"/>
      <c r="BD399" s="259"/>
      <c r="BE399" s="258"/>
      <c r="BF399" s="258"/>
      <c r="BG399" s="258"/>
      <c r="BH399" s="258"/>
      <c r="BI399" s="258"/>
      <c r="BJ399" s="258"/>
      <c r="BK399" s="258"/>
      <c r="BL399" s="272"/>
      <c r="BM399" s="272"/>
      <c r="BN399" s="273"/>
      <c r="BO399" s="270"/>
      <c r="BP399" s="270"/>
      <c r="BQ399" s="270"/>
      <c r="BR399" s="270"/>
      <c r="BS399" s="270"/>
      <c r="BT399" s="273"/>
      <c r="BU399" s="258"/>
      <c r="BV399" s="269"/>
      <c r="BY399" s="261"/>
      <c r="BZ399" s="261"/>
      <c r="CD399" s="270"/>
    </row>
    <row r="400" spans="1:82" s="265" customFormat="1" x14ac:dyDescent="0.3">
      <c r="A400" s="262"/>
      <c r="B400" s="262"/>
      <c r="C400" s="262"/>
      <c r="D400" s="263"/>
      <c r="E400" s="264"/>
      <c r="F400" s="262"/>
      <c r="J400" s="266"/>
      <c r="U400" s="267"/>
      <c r="W400" s="268"/>
      <c r="Y400" s="268"/>
      <c r="Z400" s="258"/>
      <c r="AA400" s="258"/>
      <c r="AB400" s="258"/>
      <c r="AC400" s="258"/>
      <c r="AD400" s="258"/>
      <c r="AE400" s="258"/>
      <c r="AF400" s="258"/>
      <c r="AG400" s="258"/>
      <c r="AH400" s="258"/>
      <c r="AI400" s="258"/>
      <c r="AJ400" s="258"/>
      <c r="AK400" s="269"/>
      <c r="AL400" s="258"/>
      <c r="AM400" s="270"/>
      <c r="AN400" s="271"/>
      <c r="AO400" s="258"/>
      <c r="AP400" s="259"/>
      <c r="AQ400" s="258"/>
      <c r="AR400" s="258"/>
      <c r="AS400" s="258"/>
      <c r="AT400" s="269"/>
      <c r="AU400" s="258"/>
      <c r="AV400" s="258"/>
      <c r="AW400" s="258"/>
      <c r="AX400" s="260"/>
      <c r="AY400" s="260"/>
      <c r="AZ400" s="259"/>
      <c r="BA400" s="259"/>
      <c r="BB400" s="259"/>
      <c r="BC400" s="259"/>
      <c r="BD400" s="259"/>
      <c r="BE400" s="258"/>
      <c r="BF400" s="258"/>
      <c r="BG400" s="258"/>
      <c r="BH400" s="258"/>
      <c r="BI400" s="258"/>
      <c r="BJ400" s="258"/>
      <c r="BK400" s="258"/>
      <c r="BL400" s="272"/>
      <c r="BM400" s="272"/>
      <c r="BN400" s="273"/>
      <c r="BO400" s="270"/>
      <c r="BP400" s="270"/>
      <c r="BQ400" s="270"/>
      <c r="BR400" s="270"/>
      <c r="BS400" s="270"/>
      <c r="BT400" s="273"/>
      <c r="BU400" s="258"/>
      <c r="BV400" s="269"/>
      <c r="BY400" s="261"/>
      <c r="BZ400" s="261"/>
      <c r="CD400" s="270"/>
    </row>
    <row r="401" spans="1:82" s="265" customFormat="1" x14ac:dyDescent="0.3">
      <c r="A401" s="262"/>
      <c r="B401" s="262"/>
      <c r="C401" s="262"/>
      <c r="D401" s="263"/>
      <c r="E401" s="264"/>
      <c r="F401" s="262"/>
      <c r="J401" s="266"/>
      <c r="U401" s="267"/>
      <c r="W401" s="268"/>
      <c r="Y401" s="268"/>
      <c r="Z401" s="258"/>
      <c r="AA401" s="258"/>
      <c r="AB401" s="258"/>
      <c r="AC401" s="258"/>
      <c r="AD401" s="258"/>
      <c r="AE401" s="258"/>
      <c r="AF401" s="258"/>
      <c r="AG401" s="258"/>
      <c r="AH401" s="258"/>
      <c r="AI401" s="258"/>
      <c r="AJ401" s="258"/>
      <c r="AK401" s="269"/>
      <c r="AL401" s="258"/>
      <c r="AM401" s="270"/>
      <c r="AN401" s="271"/>
      <c r="AO401" s="258"/>
      <c r="AP401" s="259"/>
      <c r="AQ401" s="258"/>
      <c r="AR401" s="258"/>
      <c r="AS401" s="258"/>
      <c r="AT401" s="269"/>
      <c r="AU401" s="258"/>
      <c r="AV401" s="258"/>
      <c r="AW401" s="258"/>
      <c r="AX401" s="260"/>
      <c r="AY401" s="260"/>
      <c r="AZ401" s="259"/>
      <c r="BA401" s="259"/>
      <c r="BB401" s="259"/>
      <c r="BC401" s="259"/>
      <c r="BD401" s="259"/>
      <c r="BE401" s="258"/>
      <c r="BF401" s="258"/>
      <c r="BG401" s="258"/>
      <c r="BH401" s="258"/>
      <c r="BI401" s="258"/>
      <c r="BJ401" s="258"/>
      <c r="BK401" s="258"/>
      <c r="BL401" s="272"/>
      <c r="BM401" s="272"/>
      <c r="BN401" s="273"/>
      <c r="BO401" s="270"/>
      <c r="BP401" s="270"/>
      <c r="BQ401" s="270"/>
      <c r="BR401" s="270"/>
      <c r="BS401" s="270"/>
      <c r="BT401" s="273"/>
      <c r="BU401" s="258"/>
      <c r="BV401" s="269"/>
      <c r="BY401" s="261"/>
      <c r="BZ401" s="261"/>
      <c r="CD401" s="270"/>
    </row>
    <row r="402" spans="1:82" s="265" customFormat="1" x14ac:dyDescent="0.3">
      <c r="A402" s="262"/>
      <c r="B402" s="262"/>
      <c r="C402" s="262"/>
      <c r="D402" s="263"/>
      <c r="E402" s="264"/>
      <c r="F402" s="262"/>
      <c r="J402" s="277"/>
      <c r="U402" s="267"/>
      <c r="W402" s="268"/>
      <c r="Y402" s="268"/>
      <c r="Z402" s="258"/>
      <c r="AA402" s="258"/>
      <c r="AB402" s="258"/>
      <c r="AC402" s="258"/>
      <c r="AD402" s="258"/>
      <c r="AE402" s="258"/>
      <c r="AF402" s="258"/>
      <c r="AG402" s="258"/>
      <c r="AH402" s="258"/>
      <c r="AI402" s="258"/>
      <c r="AJ402" s="258"/>
      <c r="AK402" s="269"/>
      <c r="AL402" s="258"/>
      <c r="AM402" s="270"/>
      <c r="AN402" s="271"/>
      <c r="AO402" s="258"/>
      <c r="AP402" s="259"/>
      <c r="AQ402" s="258"/>
      <c r="AR402" s="258"/>
      <c r="AS402" s="258"/>
      <c r="AT402" s="269"/>
      <c r="AU402" s="258"/>
      <c r="AV402" s="258"/>
      <c r="AW402" s="258"/>
      <c r="AX402" s="260"/>
      <c r="AY402" s="260"/>
      <c r="AZ402" s="259"/>
      <c r="BA402" s="259"/>
      <c r="BB402" s="259"/>
      <c r="BC402" s="259"/>
      <c r="BD402" s="259"/>
      <c r="BE402" s="258"/>
      <c r="BF402" s="258"/>
      <c r="BG402" s="258"/>
      <c r="BH402" s="258"/>
      <c r="BI402" s="258"/>
      <c r="BJ402" s="258"/>
      <c r="BK402" s="258"/>
      <c r="BL402" s="272"/>
      <c r="BM402" s="272"/>
      <c r="BN402" s="273"/>
      <c r="BO402" s="270"/>
      <c r="BP402" s="270"/>
      <c r="BQ402" s="270"/>
      <c r="BR402" s="270"/>
      <c r="BS402" s="270"/>
      <c r="BT402" s="273"/>
      <c r="BU402" s="258"/>
      <c r="BV402" s="269"/>
      <c r="BY402" s="261"/>
      <c r="BZ402" s="261"/>
      <c r="CD402" s="270"/>
    </row>
    <row r="403" spans="1:82" s="265" customFormat="1" x14ac:dyDescent="0.3">
      <c r="A403" s="262"/>
      <c r="B403" s="262"/>
      <c r="C403" s="262"/>
      <c r="D403" s="263"/>
      <c r="E403" s="264"/>
      <c r="F403" s="262"/>
      <c r="J403" s="277"/>
      <c r="U403" s="267"/>
      <c r="W403" s="268"/>
      <c r="Y403" s="268"/>
      <c r="Z403" s="258"/>
      <c r="AA403" s="258"/>
      <c r="AB403" s="258"/>
      <c r="AC403" s="258"/>
      <c r="AD403" s="258"/>
      <c r="AE403" s="258"/>
      <c r="AF403" s="258"/>
      <c r="AG403" s="258"/>
      <c r="AH403" s="258"/>
      <c r="AI403" s="258"/>
      <c r="AJ403" s="258"/>
      <c r="AK403" s="269"/>
      <c r="AL403" s="258"/>
      <c r="AM403" s="270"/>
      <c r="AN403" s="271"/>
      <c r="AO403" s="258"/>
      <c r="AP403" s="259"/>
      <c r="AQ403" s="258"/>
      <c r="AR403" s="258"/>
      <c r="AS403" s="258"/>
      <c r="AT403" s="269"/>
      <c r="AU403" s="258"/>
      <c r="AV403" s="258"/>
      <c r="AW403" s="258"/>
      <c r="AX403" s="260"/>
      <c r="AY403" s="260"/>
      <c r="AZ403" s="259"/>
      <c r="BA403" s="259"/>
      <c r="BB403" s="259"/>
      <c r="BC403" s="259"/>
      <c r="BD403" s="259"/>
      <c r="BE403" s="258"/>
      <c r="BF403" s="258"/>
      <c r="BG403" s="258"/>
      <c r="BH403" s="258"/>
      <c r="BI403" s="258"/>
      <c r="BJ403" s="258"/>
      <c r="BK403" s="258"/>
      <c r="BL403" s="272"/>
      <c r="BM403" s="272"/>
      <c r="BN403" s="273"/>
      <c r="BO403" s="270"/>
      <c r="BP403" s="270"/>
      <c r="BQ403" s="270"/>
      <c r="BR403" s="270"/>
      <c r="BS403" s="270"/>
      <c r="BT403" s="273"/>
      <c r="BU403" s="258"/>
      <c r="BV403" s="269"/>
      <c r="BY403" s="261"/>
      <c r="BZ403" s="261"/>
      <c r="CD403" s="270"/>
    </row>
    <row r="404" spans="1:82" s="265" customFormat="1" x14ac:dyDescent="0.3">
      <c r="A404" s="262"/>
      <c r="B404" s="262"/>
      <c r="C404" s="262"/>
      <c r="D404" s="263"/>
      <c r="E404" s="264"/>
      <c r="F404" s="262"/>
      <c r="J404" s="247"/>
      <c r="U404" s="267"/>
      <c r="W404" s="268"/>
      <c r="Y404" s="268"/>
      <c r="Z404" s="258"/>
      <c r="AA404" s="258"/>
      <c r="AB404" s="258"/>
      <c r="AC404" s="258"/>
      <c r="AD404" s="258"/>
      <c r="AE404" s="258"/>
      <c r="AF404" s="258"/>
      <c r="AG404" s="258"/>
      <c r="AH404" s="258"/>
      <c r="AI404" s="258"/>
      <c r="AJ404" s="258"/>
      <c r="AK404" s="269"/>
      <c r="AL404" s="258"/>
      <c r="AM404" s="270"/>
      <c r="AN404" s="271"/>
      <c r="AO404" s="258"/>
      <c r="AP404" s="259"/>
      <c r="AQ404" s="258"/>
      <c r="AR404" s="258"/>
      <c r="AS404" s="258"/>
      <c r="AT404" s="269"/>
      <c r="AU404" s="258"/>
      <c r="AV404" s="258"/>
      <c r="AW404" s="258"/>
      <c r="AX404" s="260"/>
      <c r="AY404" s="260"/>
      <c r="AZ404" s="259"/>
      <c r="BA404" s="259"/>
      <c r="BB404" s="259"/>
      <c r="BC404" s="259"/>
      <c r="BD404" s="259"/>
      <c r="BE404" s="258"/>
      <c r="BF404" s="258"/>
      <c r="BG404" s="258"/>
      <c r="BH404" s="258"/>
      <c r="BI404" s="258"/>
      <c r="BJ404" s="258"/>
      <c r="BK404" s="258"/>
      <c r="BL404" s="272"/>
      <c r="BM404" s="272"/>
      <c r="BN404" s="273"/>
      <c r="BO404" s="270"/>
      <c r="BP404" s="270"/>
      <c r="BQ404" s="270"/>
      <c r="BR404" s="270"/>
      <c r="BS404" s="270"/>
      <c r="BT404" s="273"/>
      <c r="BU404" s="258"/>
      <c r="BV404" s="269"/>
      <c r="BY404" s="261"/>
      <c r="BZ404" s="261"/>
      <c r="CD404" s="270"/>
    </row>
    <row r="405" spans="1:82" s="265" customFormat="1" x14ac:dyDescent="0.3">
      <c r="A405" s="262"/>
      <c r="B405" s="262"/>
      <c r="C405" s="262"/>
      <c r="D405" s="263"/>
      <c r="E405" s="264"/>
      <c r="F405" s="262"/>
      <c r="J405" s="256"/>
      <c r="U405" s="267"/>
      <c r="W405" s="268"/>
      <c r="Y405" s="268"/>
      <c r="Z405" s="258"/>
      <c r="AA405" s="258"/>
      <c r="AB405" s="258"/>
      <c r="AC405" s="258"/>
      <c r="AD405" s="258"/>
      <c r="AE405" s="258"/>
      <c r="AF405" s="258"/>
      <c r="AG405" s="258"/>
      <c r="AH405" s="258"/>
      <c r="AI405" s="258"/>
      <c r="AJ405" s="258"/>
      <c r="AK405" s="269"/>
      <c r="AL405" s="258"/>
      <c r="AM405" s="270"/>
      <c r="AN405" s="271"/>
      <c r="AO405" s="258"/>
      <c r="AP405" s="259"/>
      <c r="AQ405" s="258"/>
      <c r="AR405" s="258"/>
      <c r="AS405" s="258"/>
      <c r="AT405" s="269"/>
      <c r="AU405" s="258"/>
      <c r="AV405" s="258"/>
      <c r="AW405" s="258"/>
      <c r="AX405" s="260"/>
      <c r="AY405" s="260"/>
      <c r="AZ405" s="259"/>
      <c r="BA405" s="259"/>
      <c r="BB405" s="259"/>
      <c r="BC405" s="259"/>
      <c r="BD405" s="259"/>
      <c r="BE405" s="258"/>
      <c r="BF405" s="258"/>
      <c r="BG405" s="258"/>
      <c r="BH405" s="258"/>
      <c r="BI405" s="258"/>
      <c r="BJ405" s="258"/>
      <c r="BK405" s="258"/>
      <c r="BL405" s="272"/>
      <c r="BM405" s="272"/>
      <c r="BN405" s="273"/>
      <c r="BO405" s="270"/>
      <c r="BP405" s="270"/>
      <c r="BQ405" s="270"/>
      <c r="BR405" s="270"/>
      <c r="BS405" s="270"/>
      <c r="BT405" s="273"/>
      <c r="BU405" s="258"/>
      <c r="BV405" s="269"/>
      <c r="BY405" s="261"/>
      <c r="BZ405" s="261"/>
      <c r="CD405" s="270"/>
    </row>
    <row r="406" spans="1:82" s="265" customFormat="1" x14ac:dyDescent="0.3">
      <c r="A406" s="262"/>
      <c r="B406" s="262"/>
      <c r="C406" s="262"/>
      <c r="D406" s="263"/>
      <c r="E406" s="264"/>
      <c r="F406" s="262"/>
      <c r="J406" s="238"/>
      <c r="U406" s="267"/>
      <c r="W406" s="268"/>
      <c r="Y406" s="268"/>
      <c r="Z406" s="258"/>
      <c r="AA406" s="258"/>
      <c r="AB406" s="258"/>
      <c r="AC406" s="258"/>
      <c r="AD406" s="258"/>
      <c r="AE406" s="258"/>
      <c r="AF406" s="258"/>
      <c r="AG406" s="258"/>
      <c r="AH406" s="258"/>
      <c r="AI406" s="258"/>
      <c r="AJ406" s="258"/>
      <c r="AK406" s="269"/>
      <c r="AL406" s="258"/>
      <c r="AM406" s="270"/>
      <c r="AN406" s="271"/>
      <c r="AO406" s="258"/>
      <c r="AP406" s="259"/>
      <c r="AQ406" s="258"/>
      <c r="AR406" s="258"/>
      <c r="AS406" s="258"/>
      <c r="AT406" s="269"/>
      <c r="AU406" s="258"/>
      <c r="AV406" s="258"/>
      <c r="AW406" s="258"/>
      <c r="AX406" s="260"/>
      <c r="AY406" s="260"/>
      <c r="AZ406" s="259"/>
      <c r="BA406" s="259"/>
      <c r="BB406" s="259"/>
      <c r="BC406" s="259"/>
      <c r="BD406" s="259"/>
      <c r="BE406" s="258"/>
      <c r="BF406" s="258"/>
      <c r="BG406" s="258"/>
      <c r="BH406" s="258"/>
      <c r="BI406" s="258"/>
      <c r="BJ406" s="258"/>
      <c r="BK406" s="258"/>
      <c r="BL406" s="272"/>
      <c r="BM406" s="272"/>
      <c r="BN406" s="273"/>
      <c r="BO406" s="270"/>
      <c r="BP406" s="270"/>
      <c r="BQ406" s="270"/>
      <c r="BR406" s="270"/>
      <c r="BS406" s="270"/>
      <c r="BT406" s="273"/>
      <c r="BU406" s="258"/>
      <c r="BV406" s="269"/>
      <c r="BY406" s="261"/>
      <c r="BZ406" s="261"/>
      <c r="CD406" s="270"/>
    </row>
    <row r="407" spans="1:82" s="265" customFormat="1" x14ac:dyDescent="0.3">
      <c r="A407" s="262"/>
      <c r="B407" s="262"/>
      <c r="C407" s="262"/>
      <c r="D407" s="263"/>
      <c r="E407" s="264"/>
      <c r="F407" s="262"/>
      <c r="J407" s="277"/>
      <c r="U407" s="267"/>
      <c r="W407" s="268"/>
      <c r="Y407" s="268"/>
      <c r="Z407" s="258"/>
      <c r="AA407" s="258"/>
      <c r="AB407" s="258"/>
      <c r="AC407" s="258"/>
      <c r="AD407" s="258"/>
      <c r="AE407" s="258"/>
      <c r="AF407" s="258"/>
      <c r="AG407" s="258"/>
      <c r="AH407" s="258"/>
      <c r="AI407" s="258"/>
      <c r="AJ407" s="258"/>
      <c r="AK407" s="269"/>
      <c r="AL407" s="258"/>
      <c r="AM407" s="270"/>
      <c r="AN407" s="271"/>
      <c r="AO407" s="258"/>
      <c r="AP407" s="259"/>
      <c r="AQ407" s="258"/>
      <c r="AR407" s="258"/>
      <c r="AS407" s="258"/>
      <c r="AT407" s="269"/>
      <c r="AU407" s="258"/>
      <c r="AV407" s="258"/>
      <c r="AW407" s="258"/>
      <c r="AX407" s="260"/>
      <c r="AY407" s="260"/>
      <c r="AZ407" s="259"/>
      <c r="BA407" s="259"/>
      <c r="BB407" s="259"/>
      <c r="BC407" s="259"/>
      <c r="BD407" s="259"/>
      <c r="BE407" s="258"/>
      <c r="BF407" s="258"/>
      <c r="BG407" s="258"/>
      <c r="BH407" s="258"/>
      <c r="BI407" s="258"/>
      <c r="BJ407" s="258"/>
      <c r="BK407" s="258"/>
      <c r="BL407" s="272"/>
      <c r="BM407" s="272"/>
      <c r="BN407" s="273"/>
      <c r="BO407" s="270"/>
      <c r="BP407" s="270"/>
      <c r="BQ407" s="270"/>
      <c r="BR407" s="270"/>
      <c r="BS407" s="270"/>
      <c r="BT407" s="273"/>
      <c r="BU407" s="258"/>
      <c r="BV407" s="269"/>
      <c r="BY407" s="261"/>
      <c r="BZ407" s="261"/>
      <c r="CD407" s="270"/>
    </row>
    <row r="408" spans="1:82" s="265" customFormat="1" x14ac:dyDescent="0.3">
      <c r="A408" s="262"/>
      <c r="B408" s="262"/>
      <c r="C408" s="262"/>
      <c r="D408" s="263"/>
      <c r="E408" s="264"/>
      <c r="F408" s="262"/>
      <c r="J408" s="256"/>
      <c r="U408" s="267"/>
      <c r="W408" s="268"/>
      <c r="Y408" s="268"/>
      <c r="Z408" s="258"/>
      <c r="AA408" s="258"/>
      <c r="AB408" s="258"/>
      <c r="AC408" s="258"/>
      <c r="AD408" s="258"/>
      <c r="AE408" s="258"/>
      <c r="AF408" s="258"/>
      <c r="AG408" s="258"/>
      <c r="AH408" s="258"/>
      <c r="AI408" s="258"/>
      <c r="AJ408" s="258"/>
      <c r="AK408" s="269"/>
      <c r="AL408" s="258"/>
      <c r="AM408" s="270"/>
      <c r="AN408" s="271"/>
      <c r="AO408" s="258"/>
      <c r="AP408" s="259"/>
      <c r="AQ408" s="258"/>
      <c r="AR408" s="258"/>
      <c r="AS408" s="258"/>
      <c r="AT408" s="269"/>
      <c r="AU408" s="258"/>
      <c r="AV408" s="258"/>
      <c r="AW408" s="258"/>
      <c r="AX408" s="260"/>
      <c r="AY408" s="260"/>
      <c r="AZ408" s="259"/>
      <c r="BA408" s="259"/>
      <c r="BB408" s="259"/>
      <c r="BC408" s="259"/>
      <c r="BD408" s="259"/>
      <c r="BE408" s="258"/>
      <c r="BF408" s="258"/>
      <c r="BG408" s="258"/>
      <c r="BH408" s="258"/>
      <c r="BI408" s="258"/>
      <c r="BJ408" s="258"/>
      <c r="BK408" s="258"/>
      <c r="BL408" s="272"/>
      <c r="BM408" s="272"/>
      <c r="BN408" s="273"/>
      <c r="BO408" s="270"/>
      <c r="BP408" s="270"/>
      <c r="BQ408" s="270"/>
      <c r="BR408" s="270"/>
      <c r="BS408" s="270"/>
      <c r="BT408" s="273"/>
      <c r="BU408" s="258"/>
      <c r="BV408" s="269"/>
      <c r="BY408" s="261"/>
      <c r="BZ408" s="261"/>
      <c r="CD408" s="270"/>
    </row>
    <row r="409" spans="1:82" s="265" customFormat="1" x14ac:dyDescent="0.3">
      <c r="A409" s="262"/>
      <c r="B409" s="262"/>
      <c r="C409" s="262"/>
      <c r="D409" s="263"/>
      <c r="E409" s="264"/>
      <c r="F409" s="262"/>
      <c r="J409" s="238"/>
      <c r="U409" s="267"/>
      <c r="W409" s="268"/>
      <c r="Y409" s="268"/>
      <c r="Z409" s="258"/>
      <c r="AA409" s="258"/>
      <c r="AB409" s="258"/>
      <c r="AC409" s="258"/>
      <c r="AD409" s="258"/>
      <c r="AE409" s="258"/>
      <c r="AF409" s="258"/>
      <c r="AG409" s="258"/>
      <c r="AH409" s="258"/>
      <c r="AI409" s="258"/>
      <c r="AJ409" s="258"/>
      <c r="AK409" s="269"/>
      <c r="AL409" s="258"/>
      <c r="AM409" s="270"/>
      <c r="AN409" s="271"/>
      <c r="AO409" s="258"/>
      <c r="AP409" s="259"/>
      <c r="AQ409" s="258"/>
      <c r="AR409" s="258"/>
      <c r="AS409" s="258"/>
      <c r="AT409" s="269"/>
      <c r="AU409" s="258"/>
      <c r="AV409" s="258"/>
      <c r="AW409" s="258"/>
      <c r="AX409" s="260"/>
      <c r="AY409" s="260"/>
      <c r="AZ409" s="259"/>
      <c r="BA409" s="259"/>
      <c r="BB409" s="259"/>
      <c r="BC409" s="259"/>
      <c r="BD409" s="259"/>
      <c r="BE409" s="258"/>
      <c r="BF409" s="258"/>
      <c r="BG409" s="258"/>
      <c r="BH409" s="258"/>
      <c r="BI409" s="258"/>
      <c r="BJ409" s="258"/>
      <c r="BK409" s="258"/>
      <c r="BL409" s="272"/>
      <c r="BM409" s="272"/>
      <c r="BN409" s="273"/>
      <c r="BO409" s="270"/>
      <c r="BP409" s="270"/>
      <c r="BQ409" s="270"/>
      <c r="BR409" s="270"/>
      <c r="BS409" s="270"/>
      <c r="BT409" s="273"/>
      <c r="BU409" s="258"/>
      <c r="BV409" s="269"/>
      <c r="BY409" s="261"/>
      <c r="BZ409" s="261"/>
      <c r="CD409" s="270"/>
    </row>
    <row r="410" spans="1:82" s="265" customFormat="1" x14ac:dyDescent="0.3">
      <c r="A410" s="262"/>
      <c r="B410" s="262"/>
      <c r="C410" s="262"/>
      <c r="D410" s="263"/>
      <c r="E410" s="264"/>
      <c r="F410" s="262"/>
      <c r="J410" s="277"/>
      <c r="U410" s="267"/>
      <c r="W410" s="268"/>
      <c r="Y410" s="268"/>
      <c r="Z410" s="258"/>
      <c r="AA410" s="258"/>
      <c r="AB410" s="258"/>
      <c r="AC410" s="258"/>
      <c r="AD410" s="258"/>
      <c r="AE410" s="258"/>
      <c r="AF410" s="258"/>
      <c r="AG410" s="258"/>
      <c r="AH410" s="258"/>
      <c r="AI410" s="258"/>
      <c r="AJ410" s="258"/>
      <c r="AK410" s="269"/>
      <c r="AL410" s="258"/>
      <c r="AM410" s="270"/>
      <c r="AN410" s="271"/>
      <c r="AO410" s="258"/>
      <c r="AP410" s="259"/>
      <c r="AQ410" s="258"/>
      <c r="AR410" s="258"/>
      <c r="AS410" s="258"/>
      <c r="AT410" s="269"/>
      <c r="AU410" s="258"/>
      <c r="AV410" s="258"/>
      <c r="AW410" s="258"/>
      <c r="AX410" s="260"/>
      <c r="AY410" s="260"/>
      <c r="AZ410" s="259"/>
      <c r="BA410" s="259"/>
      <c r="BB410" s="259"/>
      <c r="BC410" s="259"/>
      <c r="BD410" s="259"/>
      <c r="BE410" s="258"/>
      <c r="BF410" s="258"/>
      <c r="BG410" s="258"/>
      <c r="BH410" s="258"/>
      <c r="BI410" s="258"/>
      <c r="BJ410" s="258"/>
      <c r="BK410" s="258"/>
      <c r="BL410" s="272"/>
      <c r="BM410" s="272"/>
      <c r="BN410" s="273"/>
      <c r="BO410" s="270"/>
      <c r="BP410" s="270"/>
      <c r="BQ410" s="270"/>
      <c r="BR410" s="270"/>
      <c r="BS410" s="270"/>
      <c r="BT410" s="273"/>
      <c r="BU410" s="258"/>
      <c r="BV410" s="269"/>
      <c r="BY410" s="261"/>
      <c r="BZ410" s="261"/>
      <c r="CD410" s="270"/>
    </row>
    <row r="411" spans="1:82" s="265" customFormat="1" x14ac:dyDescent="0.3">
      <c r="A411" s="262"/>
      <c r="B411" s="262"/>
      <c r="C411" s="262"/>
      <c r="D411" s="263"/>
      <c r="E411" s="264"/>
      <c r="F411" s="262"/>
      <c r="J411" s="277"/>
      <c r="U411" s="267"/>
      <c r="W411" s="268"/>
      <c r="Y411" s="268"/>
      <c r="Z411" s="258"/>
      <c r="AA411" s="258"/>
      <c r="AB411" s="258"/>
      <c r="AC411" s="258"/>
      <c r="AD411" s="258"/>
      <c r="AE411" s="258"/>
      <c r="AF411" s="258"/>
      <c r="AG411" s="258"/>
      <c r="AH411" s="258"/>
      <c r="AI411" s="258"/>
      <c r="AJ411" s="258"/>
      <c r="AK411" s="269"/>
      <c r="AL411" s="258"/>
      <c r="AM411" s="270"/>
      <c r="AN411" s="271"/>
      <c r="AO411" s="258"/>
      <c r="AP411" s="259"/>
      <c r="AQ411" s="258"/>
      <c r="AR411" s="258"/>
      <c r="AS411" s="258"/>
      <c r="AT411" s="269"/>
      <c r="AU411" s="258"/>
      <c r="AV411" s="258"/>
      <c r="AW411" s="258"/>
      <c r="AX411" s="260"/>
      <c r="AY411" s="260"/>
      <c r="AZ411" s="259"/>
      <c r="BA411" s="259"/>
      <c r="BB411" s="259"/>
      <c r="BC411" s="259"/>
      <c r="BD411" s="259"/>
      <c r="BE411" s="258"/>
      <c r="BF411" s="258"/>
      <c r="BG411" s="258"/>
      <c r="BH411" s="258"/>
      <c r="BI411" s="258"/>
      <c r="BJ411" s="258"/>
      <c r="BK411" s="258"/>
      <c r="BL411" s="272"/>
      <c r="BM411" s="272"/>
      <c r="BN411" s="273"/>
      <c r="BO411" s="270"/>
      <c r="BP411" s="270"/>
      <c r="BQ411" s="270"/>
      <c r="BR411" s="270"/>
      <c r="BS411" s="270"/>
      <c r="BT411" s="273"/>
      <c r="BU411" s="258"/>
      <c r="BV411" s="269"/>
      <c r="BY411" s="261"/>
      <c r="BZ411" s="261"/>
      <c r="CD411" s="270"/>
    </row>
    <row r="412" spans="1:82" s="265" customFormat="1" x14ac:dyDescent="0.3">
      <c r="A412" s="262"/>
      <c r="B412" s="262"/>
      <c r="C412" s="262"/>
      <c r="D412" s="263"/>
      <c r="E412" s="264"/>
      <c r="F412" s="262"/>
      <c r="J412" s="277"/>
      <c r="U412" s="267"/>
      <c r="W412" s="268"/>
      <c r="Y412" s="268"/>
      <c r="Z412" s="258"/>
      <c r="AA412" s="258"/>
      <c r="AB412" s="258"/>
      <c r="AC412" s="258"/>
      <c r="AD412" s="258"/>
      <c r="AE412" s="258"/>
      <c r="AF412" s="258"/>
      <c r="AG412" s="258"/>
      <c r="AH412" s="258"/>
      <c r="AI412" s="258"/>
      <c r="AJ412" s="258"/>
      <c r="AK412" s="269"/>
      <c r="AL412" s="258"/>
      <c r="AM412" s="270"/>
      <c r="AN412" s="271"/>
      <c r="AO412" s="258"/>
      <c r="AP412" s="259"/>
      <c r="AQ412" s="258"/>
      <c r="AR412" s="258"/>
      <c r="AS412" s="258"/>
      <c r="AT412" s="269"/>
      <c r="AU412" s="258"/>
      <c r="AV412" s="258"/>
      <c r="AW412" s="258"/>
      <c r="AX412" s="260"/>
      <c r="AY412" s="260"/>
      <c r="AZ412" s="259"/>
      <c r="BA412" s="259"/>
      <c r="BB412" s="259"/>
      <c r="BC412" s="259"/>
      <c r="BD412" s="259"/>
      <c r="BE412" s="258"/>
      <c r="BF412" s="258"/>
      <c r="BG412" s="258"/>
      <c r="BH412" s="258"/>
      <c r="BI412" s="258"/>
      <c r="BJ412" s="258"/>
      <c r="BK412" s="258"/>
      <c r="BL412" s="272"/>
      <c r="BM412" s="272"/>
      <c r="BN412" s="273"/>
      <c r="BO412" s="270"/>
      <c r="BP412" s="270"/>
      <c r="BQ412" s="270"/>
      <c r="BR412" s="270"/>
      <c r="BS412" s="270"/>
      <c r="BT412" s="273"/>
      <c r="BU412" s="258"/>
      <c r="BV412" s="269"/>
      <c r="BY412" s="261"/>
      <c r="BZ412" s="261"/>
      <c r="CD412" s="270"/>
    </row>
    <row r="413" spans="1:82" s="265" customFormat="1" x14ac:dyDescent="0.3">
      <c r="A413" s="262"/>
      <c r="B413" s="262"/>
      <c r="C413" s="262"/>
      <c r="D413" s="263"/>
      <c r="E413" s="264"/>
      <c r="F413" s="262"/>
      <c r="J413" s="277"/>
      <c r="U413" s="267"/>
      <c r="W413" s="268"/>
      <c r="Y413" s="268"/>
      <c r="Z413" s="258"/>
      <c r="AA413" s="258"/>
      <c r="AB413" s="258"/>
      <c r="AC413" s="258"/>
      <c r="AD413" s="258"/>
      <c r="AE413" s="258"/>
      <c r="AF413" s="258"/>
      <c r="AG413" s="258"/>
      <c r="AH413" s="258"/>
      <c r="AI413" s="258"/>
      <c r="AJ413" s="258"/>
      <c r="AK413" s="269"/>
      <c r="AL413" s="258"/>
      <c r="AM413" s="270"/>
      <c r="AN413" s="271"/>
      <c r="AO413" s="258"/>
      <c r="AP413" s="259"/>
      <c r="AQ413" s="258"/>
      <c r="AR413" s="258"/>
      <c r="AS413" s="258"/>
      <c r="AT413" s="269"/>
      <c r="AU413" s="258"/>
      <c r="AV413" s="258"/>
      <c r="AW413" s="258"/>
      <c r="AX413" s="260"/>
      <c r="AY413" s="260"/>
      <c r="AZ413" s="259"/>
      <c r="BA413" s="259"/>
      <c r="BB413" s="259"/>
      <c r="BC413" s="259"/>
      <c r="BD413" s="259"/>
      <c r="BE413" s="258"/>
      <c r="BF413" s="258"/>
      <c r="BG413" s="258"/>
      <c r="BH413" s="258"/>
      <c r="BI413" s="258"/>
      <c r="BJ413" s="258"/>
      <c r="BK413" s="258"/>
      <c r="BL413" s="272"/>
      <c r="BM413" s="272"/>
      <c r="BN413" s="273"/>
      <c r="BO413" s="270"/>
      <c r="BP413" s="270"/>
      <c r="BQ413" s="270"/>
      <c r="BR413" s="270"/>
      <c r="BS413" s="270"/>
      <c r="BT413" s="273"/>
      <c r="BU413" s="258"/>
      <c r="BV413" s="269"/>
      <c r="BY413" s="261"/>
      <c r="BZ413" s="261"/>
      <c r="CD413" s="270"/>
    </row>
    <row r="414" spans="1:82" s="265" customFormat="1" x14ac:dyDescent="0.3">
      <c r="A414" s="262"/>
      <c r="B414" s="262"/>
      <c r="C414" s="262"/>
      <c r="D414" s="263"/>
      <c r="E414" s="264"/>
      <c r="F414" s="262"/>
      <c r="J414" s="256"/>
      <c r="U414" s="267"/>
      <c r="W414" s="268"/>
      <c r="Y414" s="268"/>
      <c r="Z414" s="258"/>
      <c r="AA414" s="258"/>
      <c r="AB414" s="258"/>
      <c r="AC414" s="258"/>
      <c r="AD414" s="258"/>
      <c r="AE414" s="258"/>
      <c r="AF414" s="258"/>
      <c r="AG414" s="258"/>
      <c r="AH414" s="258"/>
      <c r="AI414" s="258"/>
      <c r="AJ414" s="258"/>
      <c r="AK414" s="269"/>
      <c r="AL414" s="258"/>
      <c r="AM414" s="270"/>
      <c r="AN414" s="271"/>
      <c r="AO414" s="258"/>
      <c r="AP414" s="259"/>
      <c r="AQ414" s="258"/>
      <c r="AR414" s="258"/>
      <c r="AS414" s="258"/>
      <c r="AT414" s="269"/>
      <c r="AU414" s="258"/>
      <c r="AV414" s="258"/>
      <c r="AW414" s="258"/>
      <c r="AX414" s="260"/>
      <c r="AY414" s="260"/>
      <c r="AZ414" s="259"/>
      <c r="BA414" s="259"/>
      <c r="BB414" s="259"/>
      <c r="BC414" s="259"/>
      <c r="BD414" s="259"/>
      <c r="BE414" s="258"/>
      <c r="BF414" s="258"/>
      <c r="BG414" s="258"/>
      <c r="BH414" s="258"/>
      <c r="BI414" s="258"/>
      <c r="BJ414" s="258"/>
      <c r="BK414" s="258"/>
      <c r="BL414" s="272"/>
      <c r="BM414" s="272"/>
      <c r="BN414" s="273"/>
      <c r="BO414" s="270"/>
      <c r="BP414" s="270"/>
      <c r="BQ414" s="270"/>
      <c r="BR414" s="270"/>
      <c r="BS414" s="270"/>
      <c r="BT414" s="273"/>
      <c r="BU414" s="258"/>
      <c r="BV414" s="269"/>
      <c r="BY414" s="261"/>
      <c r="BZ414" s="261"/>
      <c r="CD414" s="270"/>
    </row>
    <row r="415" spans="1:82" s="265" customFormat="1" x14ac:dyDescent="0.3">
      <c r="A415" s="262"/>
      <c r="B415" s="262"/>
      <c r="C415" s="262"/>
      <c r="D415" s="263"/>
      <c r="E415" s="264"/>
      <c r="F415" s="262"/>
      <c r="J415" s="238"/>
      <c r="U415" s="267"/>
      <c r="W415" s="268"/>
      <c r="Y415" s="268"/>
      <c r="Z415" s="258"/>
      <c r="AA415" s="258"/>
      <c r="AB415" s="258"/>
      <c r="AC415" s="258"/>
      <c r="AD415" s="258"/>
      <c r="AE415" s="258"/>
      <c r="AF415" s="258"/>
      <c r="AG415" s="258"/>
      <c r="AH415" s="258"/>
      <c r="AI415" s="258"/>
      <c r="AJ415" s="258"/>
      <c r="AK415" s="269"/>
      <c r="AL415" s="258"/>
      <c r="AM415" s="270"/>
      <c r="AN415" s="271"/>
      <c r="AO415" s="258"/>
      <c r="AP415" s="259"/>
      <c r="AQ415" s="258"/>
      <c r="AR415" s="258"/>
      <c r="AS415" s="258"/>
      <c r="AT415" s="269"/>
      <c r="AU415" s="258"/>
      <c r="AV415" s="258"/>
      <c r="AW415" s="258"/>
      <c r="AX415" s="260"/>
      <c r="AY415" s="260"/>
      <c r="AZ415" s="259"/>
      <c r="BA415" s="259"/>
      <c r="BB415" s="259"/>
      <c r="BC415" s="259"/>
      <c r="BD415" s="259"/>
      <c r="BE415" s="258"/>
      <c r="BF415" s="258"/>
      <c r="BG415" s="258"/>
      <c r="BH415" s="258"/>
      <c r="BI415" s="258"/>
      <c r="BJ415" s="258"/>
      <c r="BK415" s="258"/>
      <c r="BL415" s="272"/>
      <c r="BM415" s="272"/>
      <c r="BN415" s="273"/>
      <c r="BO415" s="270"/>
      <c r="BP415" s="270"/>
      <c r="BQ415" s="270"/>
      <c r="BR415" s="270"/>
      <c r="BS415" s="270"/>
      <c r="BT415" s="273"/>
      <c r="BU415" s="258"/>
      <c r="BV415" s="269"/>
      <c r="BY415" s="261"/>
      <c r="BZ415" s="261"/>
      <c r="CD415" s="270"/>
    </row>
    <row r="416" spans="1:82" s="265" customFormat="1" x14ac:dyDescent="0.3">
      <c r="A416" s="262"/>
      <c r="B416" s="262"/>
      <c r="C416" s="262"/>
      <c r="D416" s="263"/>
      <c r="E416" s="264"/>
      <c r="F416" s="262"/>
      <c r="J416" s="277"/>
      <c r="U416" s="267"/>
      <c r="W416" s="268"/>
      <c r="Y416" s="268"/>
      <c r="Z416" s="258"/>
      <c r="AA416" s="258"/>
      <c r="AB416" s="258"/>
      <c r="AC416" s="258"/>
      <c r="AD416" s="258"/>
      <c r="AE416" s="258"/>
      <c r="AF416" s="258"/>
      <c r="AG416" s="258"/>
      <c r="AH416" s="258"/>
      <c r="AI416" s="258"/>
      <c r="AJ416" s="258"/>
      <c r="AK416" s="269"/>
      <c r="AL416" s="258"/>
      <c r="AM416" s="270"/>
      <c r="AN416" s="271"/>
      <c r="AO416" s="258"/>
      <c r="AP416" s="259"/>
      <c r="AQ416" s="258"/>
      <c r="AR416" s="258"/>
      <c r="AS416" s="258"/>
      <c r="AT416" s="269"/>
      <c r="AU416" s="258"/>
      <c r="AV416" s="258"/>
      <c r="AW416" s="258"/>
      <c r="AX416" s="260"/>
      <c r="AY416" s="260"/>
      <c r="AZ416" s="259"/>
      <c r="BA416" s="259"/>
      <c r="BB416" s="259"/>
      <c r="BC416" s="259"/>
      <c r="BD416" s="259"/>
      <c r="BE416" s="258"/>
      <c r="BF416" s="258"/>
      <c r="BG416" s="258"/>
      <c r="BH416" s="258"/>
      <c r="BI416" s="258"/>
      <c r="BJ416" s="258"/>
      <c r="BK416" s="258"/>
      <c r="BL416" s="272"/>
      <c r="BM416" s="272"/>
      <c r="BN416" s="273"/>
      <c r="BO416" s="270"/>
      <c r="BP416" s="270"/>
      <c r="BQ416" s="270"/>
      <c r="BR416" s="270"/>
      <c r="BS416" s="270"/>
      <c r="BT416" s="273"/>
      <c r="BU416" s="258"/>
      <c r="BV416" s="269"/>
      <c r="BY416" s="261"/>
      <c r="BZ416" s="261"/>
      <c r="CD416" s="270"/>
    </row>
    <row r="417" spans="1:82" s="265" customFormat="1" x14ac:dyDescent="0.3">
      <c r="A417" s="262"/>
      <c r="B417" s="262"/>
      <c r="C417" s="262"/>
      <c r="D417" s="263"/>
      <c r="E417" s="264"/>
      <c r="F417" s="262"/>
      <c r="J417" s="277"/>
      <c r="U417" s="267"/>
      <c r="W417" s="268"/>
      <c r="Y417" s="268"/>
      <c r="Z417" s="258"/>
      <c r="AA417" s="258"/>
      <c r="AB417" s="258"/>
      <c r="AC417" s="258"/>
      <c r="AD417" s="258"/>
      <c r="AE417" s="258"/>
      <c r="AF417" s="258"/>
      <c r="AG417" s="258"/>
      <c r="AH417" s="258"/>
      <c r="AI417" s="258"/>
      <c r="AJ417" s="258"/>
      <c r="AK417" s="269"/>
      <c r="AL417" s="258"/>
      <c r="AM417" s="270"/>
      <c r="AN417" s="271"/>
      <c r="AO417" s="258"/>
      <c r="AP417" s="259"/>
      <c r="AQ417" s="258"/>
      <c r="AR417" s="258"/>
      <c r="AS417" s="258"/>
      <c r="AT417" s="269"/>
      <c r="AU417" s="258"/>
      <c r="AV417" s="258"/>
      <c r="AW417" s="258"/>
      <c r="AX417" s="260"/>
      <c r="AY417" s="260"/>
      <c r="AZ417" s="259"/>
      <c r="BA417" s="259"/>
      <c r="BB417" s="259"/>
      <c r="BC417" s="259"/>
      <c r="BD417" s="259"/>
      <c r="BE417" s="258"/>
      <c r="BF417" s="258"/>
      <c r="BG417" s="258"/>
      <c r="BH417" s="258"/>
      <c r="BI417" s="258"/>
      <c r="BJ417" s="258"/>
      <c r="BK417" s="258"/>
      <c r="BL417" s="272"/>
      <c r="BM417" s="272"/>
      <c r="BN417" s="273"/>
      <c r="BO417" s="270"/>
      <c r="BP417" s="270"/>
      <c r="BQ417" s="270"/>
      <c r="BR417" s="270"/>
      <c r="BS417" s="270"/>
      <c r="BT417" s="273"/>
      <c r="BU417" s="258"/>
      <c r="BV417" s="269"/>
      <c r="BY417" s="261"/>
      <c r="BZ417" s="261"/>
      <c r="CD417" s="270"/>
    </row>
    <row r="418" spans="1:82" s="265" customFormat="1" x14ac:dyDescent="0.3">
      <c r="A418" s="262"/>
      <c r="B418" s="262"/>
      <c r="C418" s="262"/>
      <c r="D418" s="263"/>
      <c r="E418" s="264"/>
      <c r="F418" s="262"/>
      <c r="J418" s="277"/>
      <c r="U418" s="267"/>
      <c r="W418" s="268"/>
      <c r="Y418" s="268"/>
      <c r="Z418" s="258"/>
      <c r="AA418" s="258"/>
      <c r="AB418" s="258"/>
      <c r="AC418" s="258"/>
      <c r="AD418" s="258"/>
      <c r="AE418" s="258"/>
      <c r="AF418" s="258"/>
      <c r="AG418" s="258"/>
      <c r="AH418" s="258"/>
      <c r="AI418" s="258"/>
      <c r="AJ418" s="258"/>
      <c r="AK418" s="269"/>
      <c r="AL418" s="258"/>
      <c r="AM418" s="270"/>
      <c r="AN418" s="271"/>
      <c r="AO418" s="258"/>
      <c r="AP418" s="259"/>
      <c r="AQ418" s="258"/>
      <c r="AR418" s="258"/>
      <c r="AS418" s="258"/>
      <c r="AT418" s="269"/>
      <c r="AU418" s="258"/>
      <c r="AV418" s="258"/>
      <c r="AW418" s="258"/>
      <c r="AX418" s="260"/>
      <c r="AY418" s="260"/>
      <c r="AZ418" s="259"/>
      <c r="BA418" s="259"/>
      <c r="BB418" s="259"/>
      <c r="BC418" s="259"/>
      <c r="BD418" s="259"/>
      <c r="BE418" s="258"/>
      <c r="BF418" s="258"/>
      <c r="BG418" s="258"/>
      <c r="BH418" s="258"/>
      <c r="BI418" s="258"/>
      <c r="BJ418" s="258"/>
      <c r="BK418" s="258"/>
      <c r="BL418" s="272"/>
      <c r="BM418" s="272"/>
      <c r="BN418" s="273"/>
      <c r="BO418" s="270"/>
      <c r="BP418" s="270"/>
      <c r="BQ418" s="270"/>
      <c r="BR418" s="270"/>
      <c r="BS418" s="270"/>
      <c r="BT418" s="273"/>
      <c r="BU418" s="258"/>
      <c r="BV418" s="269"/>
      <c r="BY418" s="261"/>
      <c r="BZ418" s="261"/>
      <c r="CD418" s="270"/>
    </row>
    <row r="419" spans="1:82" s="265" customFormat="1" x14ac:dyDescent="0.3">
      <c r="A419" s="262"/>
      <c r="B419" s="262"/>
      <c r="C419" s="262"/>
      <c r="D419" s="263"/>
      <c r="E419" s="264"/>
      <c r="F419" s="262"/>
      <c r="J419" s="266"/>
      <c r="U419" s="267"/>
      <c r="W419" s="268"/>
      <c r="Y419" s="268"/>
      <c r="Z419" s="258"/>
      <c r="AA419" s="258"/>
      <c r="AB419" s="258"/>
      <c r="AC419" s="258"/>
      <c r="AD419" s="258"/>
      <c r="AE419" s="258"/>
      <c r="AF419" s="258"/>
      <c r="AG419" s="258"/>
      <c r="AH419" s="258"/>
      <c r="AI419" s="258"/>
      <c r="AJ419" s="258"/>
      <c r="AK419" s="269"/>
      <c r="AL419" s="258"/>
      <c r="AM419" s="270"/>
      <c r="AN419" s="271"/>
      <c r="AO419" s="258"/>
      <c r="AP419" s="259"/>
      <c r="AQ419" s="258"/>
      <c r="AR419" s="258"/>
      <c r="AS419" s="258"/>
      <c r="AT419" s="269"/>
      <c r="AU419" s="258"/>
      <c r="AV419" s="258"/>
      <c r="AW419" s="258"/>
      <c r="AX419" s="260"/>
      <c r="AY419" s="260"/>
      <c r="AZ419" s="259"/>
      <c r="BA419" s="259"/>
      <c r="BB419" s="259"/>
      <c r="BC419" s="259"/>
      <c r="BD419" s="259"/>
      <c r="BE419" s="258"/>
      <c r="BF419" s="258"/>
      <c r="BG419" s="258"/>
      <c r="BH419" s="258"/>
      <c r="BI419" s="258"/>
      <c r="BJ419" s="258"/>
      <c r="BK419" s="258"/>
      <c r="BL419" s="272"/>
      <c r="BM419" s="272"/>
      <c r="BN419" s="273"/>
      <c r="BO419" s="270"/>
      <c r="BP419" s="270"/>
      <c r="BQ419" s="270"/>
      <c r="BR419" s="270"/>
      <c r="BS419" s="270"/>
      <c r="BT419" s="273"/>
      <c r="BU419" s="258"/>
      <c r="BV419" s="269"/>
      <c r="BY419" s="261"/>
      <c r="BZ419" s="261"/>
      <c r="CD419" s="270"/>
    </row>
    <row r="420" spans="1:82" s="265" customFormat="1" x14ac:dyDescent="0.3">
      <c r="A420" s="262"/>
      <c r="B420" s="262"/>
      <c r="C420" s="262"/>
      <c r="D420" s="263"/>
      <c r="E420" s="264"/>
      <c r="F420" s="262"/>
      <c r="J420" s="256"/>
      <c r="U420" s="267"/>
      <c r="W420" s="268"/>
      <c r="Y420" s="268"/>
      <c r="Z420" s="258"/>
      <c r="AA420" s="258"/>
      <c r="AB420" s="258"/>
      <c r="AC420" s="258"/>
      <c r="AD420" s="258"/>
      <c r="AE420" s="258"/>
      <c r="AF420" s="258"/>
      <c r="AG420" s="258"/>
      <c r="AH420" s="258"/>
      <c r="AI420" s="258"/>
      <c r="AJ420" s="258"/>
      <c r="AK420" s="269"/>
      <c r="AL420" s="258"/>
      <c r="AM420" s="270"/>
      <c r="AN420" s="271"/>
      <c r="AO420" s="258"/>
      <c r="AP420" s="259"/>
      <c r="AQ420" s="258"/>
      <c r="AR420" s="258"/>
      <c r="AS420" s="258"/>
      <c r="AT420" s="269"/>
      <c r="AU420" s="258"/>
      <c r="AV420" s="258"/>
      <c r="AW420" s="258"/>
      <c r="AX420" s="260"/>
      <c r="AY420" s="260"/>
      <c r="AZ420" s="259"/>
      <c r="BA420" s="259"/>
      <c r="BB420" s="259"/>
      <c r="BC420" s="259"/>
      <c r="BD420" s="259"/>
      <c r="BE420" s="258"/>
      <c r="BF420" s="258"/>
      <c r="BG420" s="258"/>
      <c r="BH420" s="258"/>
      <c r="BI420" s="258"/>
      <c r="BJ420" s="258"/>
      <c r="BK420" s="258"/>
      <c r="BL420" s="272"/>
      <c r="BM420" s="272"/>
      <c r="BN420" s="273"/>
      <c r="BO420" s="270"/>
      <c r="BP420" s="270"/>
      <c r="BQ420" s="270"/>
      <c r="BR420" s="270"/>
      <c r="BS420" s="270"/>
      <c r="BT420" s="273"/>
      <c r="BU420" s="258"/>
      <c r="BV420" s="269"/>
      <c r="BY420" s="261"/>
      <c r="BZ420" s="261"/>
      <c r="CD420" s="270"/>
    </row>
    <row r="421" spans="1:82" s="265" customFormat="1" x14ac:dyDescent="0.3">
      <c r="A421" s="262"/>
      <c r="B421" s="262"/>
      <c r="C421" s="262"/>
      <c r="D421" s="263"/>
      <c r="E421" s="264"/>
      <c r="F421" s="262"/>
      <c r="J421" s="278"/>
      <c r="U421" s="267"/>
      <c r="W421" s="268"/>
      <c r="Y421" s="268"/>
      <c r="Z421" s="258"/>
      <c r="AA421" s="258"/>
      <c r="AB421" s="258"/>
      <c r="AC421" s="258"/>
      <c r="AD421" s="258"/>
      <c r="AE421" s="258"/>
      <c r="AF421" s="258"/>
      <c r="AG421" s="258"/>
      <c r="AH421" s="258"/>
      <c r="AI421" s="258"/>
      <c r="AJ421" s="258"/>
      <c r="AK421" s="269"/>
      <c r="AL421" s="258"/>
      <c r="AM421" s="270"/>
      <c r="AN421" s="271"/>
      <c r="AO421" s="258"/>
      <c r="AP421" s="259"/>
      <c r="AQ421" s="258"/>
      <c r="AR421" s="258"/>
      <c r="AS421" s="258"/>
      <c r="AT421" s="269"/>
      <c r="AU421" s="258"/>
      <c r="AV421" s="258"/>
      <c r="AW421" s="258"/>
      <c r="AX421" s="260"/>
      <c r="AY421" s="260"/>
      <c r="AZ421" s="259"/>
      <c r="BA421" s="259"/>
      <c r="BB421" s="259"/>
      <c r="BC421" s="259"/>
      <c r="BD421" s="259"/>
      <c r="BE421" s="258"/>
      <c r="BF421" s="258"/>
      <c r="BG421" s="258"/>
      <c r="BH421" s="258"/>
      <c r="BI421" s="258"/>
      <c r="BJ421" s="258"/>
      <c r="BK421" s="258"/>
      <c r="BL421" s="272"/>
      <c r="BM421" s="272"/>
      <c r="BN421" s="273"/>
      <c r="BO421" s="270"/>
      <c r="BP421" s="270"/>
      <c r="BQ421" s="270"/>
      <c r="BR421" s="270"/>
      <c r="BS421" s="270"/>
      <c r="BT421" s="273"/>
      <c r="BU421" s="258"/>
      <c r="BV421" s="269"/>
      <c r="BY421" s="261"/>
      <c r="BZ421" s="261"/>
      <c r="CD421" s="270"/>
    </row>
    <row r="422" spans="1:82" s="265" customFormat="1" x14ac:dyDescent="0.3">
      <c r="A422" s="262"/>
      <c r="B422" s="262"/>
      <c r="C422" s="262"/>
      <c r="D422" s="263"/>
      <c r="E422" s="264"/>
      <c r="F422" s="262"/>
      <c r="J422" s="277"/>
      <c r="U422" s="267"/>
      <c r="W422" s="268"/>
      <c r="Y422" s="268"/>
      <c r="Z422" s="258"/>
      <c r="AA422" s="258"/>
      <c r="AB422" s="258"/>
      <c r="AC422" s="258"/>
      <c r="AD422" s="258"/>
      <c r="AE422" s="258"/>
      <c r="AF422" s="258"/>
      <c r="AG422" s="258"/>
      <c r="AH422" s="258"/>
      <c r="AI422" s="258"/>
      <c r="AJ422" s="258"/>
      <c r="AK422" s="269"/>
      <c r="AL422" s="258"/>
      <c r="AM422" s="270"/>
      <c r="AN422" s="271"/>
      <c r="AO422" s="258"/>
      <c r="AP422" s="259"/>
      <c r="AQ422" s="258"/>
      <c r="AR422" s="258"/>
      <c r="AS422" s="258"/>
      <c r="AT422" s="269"/>
      <c r="AU422" s="258"/>
      <c r="AV422" s="258"/>
      <c r="AW422" s="258"/>
      <c r="AX422" s="260"/>
      <c r="AY422" s="260"/>
      <c r="AZ422" s="259"/>
      <c r="BA422" s="259"/>
      <c r="BB422" s="259"/>
      <c r="BC422" s="259"/>
      <c r="BD422" s="259"/>
      <c r="BE422" s="258"/>
      <c r="BF422" s="258"/>
      <c r="BG422" s="258"/>
      <c r="BH422" s="258"/>
      <c r="BI422" s="258"/>
      <c r="BJ422" s="258"/>
      <c r="BK422" s="258"/>
      <c r="BL422" s="272"/>
      <c r="BM422" s="272"/>
      <c r="BN422" s="273"/>
      <c r="BO422" s="270"/>
      <c r="BP422" s="270"/>
      <c r="BQ422" s="270"/>
      <c r="BR422" s="270"/>
      <c r="BS422" s="270"/>
      <c r="BT422" s="273"/>
      <c r="BU422" s="258"/>
      <c r="BV422" s="269"/>
      <c r="BY422" s="261"/>
      <c r="BZ422" s="261"/>
      <c r="CD422" s="270"/>
    </row>
    <row r="423" spans="1:82" s="265" customFormat="1" x14ac:dyDescent="0.3">
      <c r="A423" s="262"/>
      <c r="B423" s="262"/>
      <c r="C423" s="262"/>
      <c r="D423" s="263"/>
      <c r="E423" s="264"/>
      <c r="F423" s="262"/>
      <c r="J423" s="247"/>
      <c r="U423" s="267"/>
      <c r="W423" s="268"/>
      <c r="Y423" s="268"/>
      <c r="Z423" s="258"/>
      <c r="AA423" s="258"/>
      <c r="AB423" s="258"/>
      <c r="AC423" s="258"/>
      <c r="AD423" s="258"/>
      <c r="AE423" s="258"/>
      <c r="AF423" s="258"/>
      <c r="AG423" s="258"/>
      <c r="AH423" s="258"/>
      <c r="AI423" s="258"/>
      <c r="AJ423" s="258"/>
      <c r="AK423" s="269"/>
      <c r="AL423" s="258"/>
      <c r="AM423" s="270"/>
      <c r="AN423" s="271"/>
      <c r="AO423" s="258"/>
      <c r="AP423" s="259"/>
      <c r="AQ423" s="258"/>
      <c r="AR423" s="258"/>
      <c r="AS423" s="258"/>
      <c r="AT423" s="269"/>
      <c r="AU423" s="258"/>
      <c r="AV423" s="258"/>
      <c r="AW423" s="258"/>
      <c r="AX423" s="260"/>
      <c r="AY423" s="260"/>
      <c r="AZ423" s="259"/>
      <c r="BA423" s="259"/>
      <c r="BB423" s="259"/>
      <c r="BC423" s="259"/>
      <c r="BD423" s="259"/>
      <c r="BE423" s="258"/>
      <c r="BF423" s="258"/>
      <c r="BG423" s="258"/>
      <c r="BH423" s="258"/>
      <c r="BI423" s="258"/>
      <c r="BJ423" s="258"/>
      <c r="BK423" s="258"/>
      <c r="BL423" s="272"/>
      <c r="BM423" s="272"/>
      <c r="BN423" s="273"/>
      <c r="BO423" s="270"/>
      <c r="BP423" s="270"/>
      <c r="BQ423" s="270"/>
      <c r="BR423" s="270"/>
      <c r="BS423" s="270"/>
      <c r="BT423" s="273"/>
      <c r="BU423" s="258"/>
      <c r="BV423" s="269"/>
      <c r="BY423" s="261"/>
      <c r="BZ423" s="261"/>
      <c r="CD423" s="270"/>
    </row>
    <row r="424" spans="1:82" s="265" customFormat="1" x14ac:dyDescent="0.3">
      <c r="A424" s="262"/>
      <c r="B424" s="262"/>
      <c r="C424" s="262"/>
      <c r="D424" s="263"/>
      <c r="E424" s="264"/>
      <c r="F424" s="262"/>
      <c r="J424" s="256"/>
      <c r="U424" s="267"/>
      <c r="W424" s="268"/>
      <c r="Y424" s="268"/>
      <c r="Z424" s="258"/>
      <c r="AA424" s="258"/>
      <c r="AB424" s="258"/>
      <c r="AC424" s="258"/>
      <c r="AD424" s="258"/>
      <c r="AE424" s="258"/>
      <c r="AF424" s="258"/>
      <c r="AG424" s="258"/>
      <c r="AH424" s="258"/>
      <c r="AI424" s="258"/>
      <c r="AJ424" s="258"/>
      <c r="AK424" s="269"/>
      <c r="AL424" s="258"/>
      <c r="AM424" s="270"/>
      <c r="AN424" s="271"/>
      <c r="AO424" s="258"/>
      <c r="AP424" s="259"/>
      <c r="AQ424" s="258"/>
      <c r="AR424" s="258"/>
      <c r="AS424" s="258"/>
      <c r="AT424" s="269"/>
      <c r="AU424" s="258"/>
      <c r="AV424" s="258"/>
      <c r="AW424" s="258"/>
      <c r="AX424" s="260"/>
      <c r="AY424" s="260"/>
      <c r="AZ424" s="259"/>
      <c r="BA424" s="259"/>
      <c r="BB424" s="259"/>
      <c r="BC424" s="259"/>
      <c r="BD424" s="259"/>
      <c r="BE424" s="258"/>
      <c r="BF424" s="258"/>
      <c r="BG424" s="258"/>
      <c r="BH424" s="258"/>
      <c r="BI424" s="258"/>
      <c r="BJ424" s="258"/>
      <c r="BK424" s="258"/>
      <c r="BL424" s="272"/>
      <c r="BM424" s="272"/>
      <c r="BN424" s="273"/>
      <c r="BO424" s="270"/>
      <c r="BP424" s="270"/>
      <c r="BQ424" s="270"/>
      <c r="BR424" s="270"/>
      <c r="BS424" s="270"/>
      <c r="BT424" s="273"/>
      <c r="BU424" s="258"/>
      <c r="BV424" s="269"/>
      <c r="BY424" s="261"/>
      <c r="BZ424" s="261"/>
      <c r="CD424" s="270"/>
    </row>
    <row r="425" spans="1:82" s="265" customFormat="1" x14ac:dyDescent="0.3">
      <c r="A425" s="262"/>
      <c r="B425" s="262"/>
      <c r="C425" s="262"/>
      <c r="D425" s="263"/>
      <c r="E425" s="264"/>
      <c r="F425" s="262"/>
      <c r="J425" s="238"/>
      <c r="U425" s="267"/>
      <c r="W425" s="268"/>
      <c r="Y425" s="268"/>
      <c r="Z425" s="258"/>
      <c r="AA425" s="258"/>
      <c r="AB425" s="258"/>
      <c r="AC425" s="258"/>
      <c r="AD425" s="258"/>
      <c r="AE425" s="258"/>
      <c r="AF425" s="258"/>
      <c r="AG425" s="258"/>
      <c r="AH425" s="258"/>
      <c r="AI425" s="258"/>
      <c r="AJ425" s="258"/>
      <c r="AK425" s="269"/>
      <c r="AL425" s="258"/>
      <c r="AM425" s="270"/>
      <c r="AN425" s="271"/>
      <c r="AO425" s="258"/>
      <c r="AP425" s="259"/>
      <c r="AQ425" s="258"/>
      <c r="AR425" s="258"/>
      <c r="AS425" s="258"/>
      <c r="AT425" s="269"/>
      <c r="AU425" s="258"/>
      <c r="AV425" s="258"/>
      <c r="AW425" s="258"/>
      <c r="AX425" s="260"/>
      <c r="AY425" s="260"/>
      <c r="AZ425" s="259"/>
      <c r="BA425" s="259"/>
      <c r="BB425" s="259"/>
      <c r="BC425" s="259"/>
      <c r="BD425" s="259"/>
      <c r="BE425" s="258"/>
      <c r="BF425" s="258"/>
      <c r="BG425" s="258"/>
      <c r="BH425" s="258"/>
      <c r="BI425" s="258"/>
      <c r="BJ425" s="258"/>
      <c r="BK425" s="258"/>
      <c r="BL425" s="272"/>
      <c r="BM425" s="272"/>
      <c r="BN425" s="273"/>
      <c r="BO425" s="270"/>
      <c r="BP425" s="270"/>
      <c r="BQ425" s="270"/>
      <c r="BR425" s="270"/>
      <c r="BS425" s="270"/>
      <c r="BT425" s="273"/>
      <c r="BU425" s="258"/>
      <c r="BV425" s="269"/>
      <c r="BY425" s="261"/>
      <c r="BZ425" s="261"/>
      <c r="CD425" s="270"/>
    </row>
    <row r="426" spans="1:82" s="265" customFormat="1" x14ac:dyDescent="0.3">
      <c r="A426" s="262"/>
      <c r="B426" s="262"/>
      <c r="C426" s="262"/>
      <c r="D426" s="263"/>
      <c r="E426" s="264"/>
      <c r="F426" s="262"/>
      <c r="J426" s="277"/>
      <c r="U426" s="267"/>
      <c r="W426" s="268"/>
      <c r="Y426" s="268"/>
      <c r="Z426" s="258"/>
      <c r="AA426" s="258"/>
      <c r="AB426" s="258"/>
      <c r="AC426" s="258"/>
      <c r="AD426" s="258"/>
      <c r="AE426" s="258"/>
      <c r="AF426" s="258"/>
      <c r="AG426" s="258"/>
      <c r="AH426" s="258"/>
      <c r="AI426" s="258"/>
      <c r="AJ426" s="258"/>
      <c r="AK426" s="269"/>
      <c r="AL426" s="258"/>
      <c r="AM426" s="270"/>
      <c r="AN426" s="271"/>
      <c r="AO426" s="258"/>
      <c r="AP426" s="259"/>
      <c r="AQ426" s="258"/>
      <c r="AR426" s="258"/>
      <c r="AS426" s="258"/>
      <c r="AT426" s="269"/>
      <c r="AU426" s="258"/>
      <c r="AV426" s="258"/>
      <c r="AW426" s="258"/>
      <c r="AX426" s="260"/>
      <c r="AY426" s="260"/>
      <c r="AZ426" s="259"/>
      <c r="BA426" s="259"/>
      <c r="BB426" s="259"/>
      <c r="BC426" s="259"/>
      <c r="BD426" s="259"/>
      <c r="BE426" s="258"/>
      <c r="BF426" s="258"/>
      <c r="BG426" s="258"/>
      <c r="BH426" s="258"/>
      <c r="BI426" s="258"/>
      <c r="BJ426" s="258"/>
      <c r="BK426" s="258"/>
      <c r="BL426" s="272"/>
      <c r="BM426" s="272"/>
      <c r="BN426" s="273"/>
      <c r="BO426" s="270"/>
      <c r="BP426" s="270"/>
      <c r="BQ426" s="270"/>
      <c r="BR426" s="270"/>
      <c r="BS426" s="270"/>
      <c r="BT426" s="273"/>
      <c r="BU426" s="258"/>
      <c r="BV426" s="269"/>
      <c r="BY426" s="261"/>
      <c r="BZ426" s="261"/>
      <c r="CD426" s="270"/>
    </row>
    <row r="427" spans="1:82" s="265" customFormat="1" x14ac:dyDescent="0.3">
      <c r="A427" s="262"/>
      <c r="B427" s="262"/>
      <c r="C427" s="262"/>
      <c r="D427" s="263"/>
      <c r="E427" s="264"/>
      <c r="F427" s="262"/>
      <c r="J427" s="277"/>
      <c r="U427" s="267"/>
      <c r="W427" s="268"/>
      <c r="Y427" s="268"/>
      <c r="Z427" s="258"/>
      <c r="AA427" s="258"/>
      <c r="AB427" s="258"/>
      <c r="AC427" s="258"/>
      <c r="AD427" s="258"/>
      <c r="AE427" s="258"/>
      <c r="AF427" s="258"/>
      <c r="AG427" s="258"/>
      <c r="AH427" s="258"/>
      <c r="AI427" s="258"/>
      <c r="AJ427" s="258"/>
      <c r="AK427" s="269"/>
      <c r="AL427" s="258"/>
      <c r="AM427" s="270"/>
      <c r="AN427" s="271"/>
      <c r="AO427" s="258"/>
      <c r="AP427" s="259"/>
      <c r="AQ427" s="258"/>
      <c r="AR427" s="258"/>
      <c r="AS427" s="258"/>
      <c r="AT427" s="269"/>
      <c r="AU427" s="258"/>
      <c r="AV427" s="258"/>
      <c r="AW427" s="258"/>
      <c r="AX427" s="260"/>
      <c r="AY427" s="260"/>
      <c r="AZ427" s="259"/>
      <c r="BA427" s="259"/>
      <c r="BB427" s="259"/>
      <c r="BC427" s="259"/>
      <c r="BD427" s="259"/>
      <c r="BE427" s="258"/>
      <c r="BF427" s="258"/>
      <c r="BG427" s="258"/>
      <c r="BH427" s="258"/>
      <c r="BI427" s="258"/>
      <c r="BJ427" s="258"/>
      <c r="BK427" s="258"/>
      <c r="BL427" s="272"/>
      <c r="BM427" s="272"/>
      <c r="BN427" s="273"/>
      <c r="BO427" s="270"/>
      <c r="BP427" s="270"/>
      <c r="BQ427" s="270"/>
      <c r="BR427" s="270"/>
      <c r="BS427" s="270"/>
      <c r="BT427" s="273"/>
      <c r="BU427" s="258"/>
      <c r="BV427" s="269"/>
      <c r="BY427" s="261"/>
      <c r="BZ427" s="261"/>
      <c r="CD427" s="270"/>
    </row>
    <row r="428" spans="1:82" s="265" customFormat="1" x14ac:dyDescent="0.3">
      <c r="A428" s="262"/>
      <c r="B428" s="262"/>
      <c r="C428" s="262"/>
      <c r="D428" s="263"/>
      <c r="E428" s="264"/>
      <c r="F428" s="262"/>
      <c r="J428" s="266"/>
      <c r="U428" s="267"/>
      <c r="W428" s="268"/>
      <c r="Y428" s="268"/>
      <c r="Z428" s="258"/>
      <c r="AA428" s="258"/>
      <c r="AB428" s="258"/>
      <c r="AC428" s="258"/>
      <c r="AD428" s="258"/>
      <c r="AE428" s="258"/>
      <c r="AF428" s="258"/>
      <c r="AG428" s="258"/>
      <c r="AH428" s="258"/>
      <c r="AI428" s="258"/>
      <c r="AJ428" s="258"/>
      <c r="AK428" s="269"/>
      <c r="AL428" s="258"/>
      <c r="AM428" s="270"/>
      <c r="AN428" s="271"/>
      <c r="AO428" s="258"/>
      <c r="AP428" s="259"/>
      <c r="AQ428" s="258"/>
      <c r="AR428" s="258"/>
      <c r="AS428" s="258"/>
      <c r="AT428" s="269"/>
      <c r="AU428" s="258"/>
      <c r="AV428" s="258"/>
      <c r="AW428" s="258"/>
      <c r="AX428" s="260"/>
      <c r="AY428" s="260"/>
      <c r="AZ428" s="259"/>
      <c r="BA428" s="259"/>
      <c r="BB428" s="259"/>
      <c r="BC428" s="259"/>
      <c r="BD428" s="259"/>
      <c r="BE428" s="258"/>
      <c r="BF428" s="258"/>
      <c r="BG428" s="258"/>
      <c r="BH428" s="258"/>
      <c r="BI428" s="258"/>
      <c r="BJ428" s="258"/>
      <c r="BK428" s="258"/>
      <c r="BL428" s="272"/>
      <c r="BM428" s="272"/>
      <c r="BN428" s="273"/>
      <c r="BO428" s="270"/>
      <c r="BP428" s="270"/>
      <c r="BQ428" s="270"/>
      <c r="BR428" s="270"/>
      <c r="BS428" s="270"/>
      <c r="BT428" s="273"/>
      <c r="BU428" s="258"/>
      <c r="BV428" s="269"/>
      <c r="BY428" s="261"/>
      <c r="BZ428" s="261"/>
      <c r="CD428" s="270"/>
    </row>
    <row r="429" spans="1:82" s="265" customFormat="1" x14ac:dyDescent="0.3">
      <c r="A429" s="262"/>
      <c r="B429" s="262"/>
      <c r="C429" s="262"/>
      <c r="D429" s="263"/>
      <c r="E429" s="264"/>
      <c r="F429" s="262"/>
      <c r="J429" s="266"/>
      <c r="U429" s="267"/>
      <c r="W429" s="268"/>
      <c r="Y429" s="268"/>
      <c r="Z429" s="258"/>
      <c r="AA429" s="258"/>
      <c r="AB429" s="258"/>
      <c r="AC429" s="258"/>
      <c r="AD429" s="258"/>
      <c r="AE429" s="258"/>
      <c r="AF429" s="258"/>
      <c r="AG429" s="258"/>
      <c r="AH429" s="258"/>
      <c r="AI429" s="258"/>
      <c r="AJ429" s="258"/>
      <c r="AK429" s="269"/>
      <c r="AL429" s="258"/>
      <c r="AM429" s="270"/>
      <c r="AN429" s="271"/>
      <c r="AO429" s="258"/>
      <c r="AP429" s="259"/>
      <c r="AQ429" s="258"/>
      <c r="AR429" s="258"/>
      <c r="AS429" s="258"/>
      <c r="AT429" s="269"/>
      <c r="AU429" s="258"/>
      <c r="AV429" s="258"/>
      <c r="AW429" s="258"/>
      <c r="AX429" s="260"/>
      <c r="AY429" s="260"/>
      <c r="AZ429" s="259"/>
      <c r="BA429" s="259"/>
      <c r="BB429" s="259"/>
      <c r="BC429" s="259"/>
      <c r="BD429" s="259"/>
      <c r="BE429" s="258"/>
      <c r="BF429" s="258"/>
      <c r="BG429" s="258"/>
      <c r="BH429" s="258"/>
      <c r="BI429" s="258"/>
      <c r="BJ429" s="258"/>
      <c r="BK429" s="258"/>
      <c r="BL429" s="272"/>
      <c r="BM429" s="272"/>
      <c r="BN429" s="273"/>
      <c r="BO429" s="270"/>
      <c r="BP429" s="270"/>
      <c r="BQ429" s="270"/>
      <c r="BR429" s="270"/>
      <c r="BS429" s="270"/>
      <c r="BT429" s="273"/>
      <c r="BU429" s="258"/>
      <c r="BV429" s="269"/>
      <c r="BY429" s="261"/>
      <c r="BZ429" s="261"/>
      <c r="CD429" s="270"/>
    </row>
    <row r="430" spans="1:82" s="265" customFormat="1" x14ac:dyDescent="0.3">
      <c r="A430" s="262"/>
      <c r="B430" s="262"/>
      <c r="C430" s="262"/>
      <c r="D430" s="263"/>
      <c r="E430" s="264"/>
      <c r="F430" s="262"/>
      <c r="J430" s="266"/>
      <c r="U430" s="267"/>
      <c r="W430" s="268"/>
      <c r="Y430" s="268"/>
      <c r="Z430" s="258"/>
      <c r="AA430" s="258"/>
      <c r="AB430" s="258"/>
      <c r="AC430" s="258"/>
      <c r="AD430" s="258"/>
      <c r="AE430" s="258"/>
      <c r="AF430" s="258"/>
      <c r="AG430" s="258"/>
      <c r="AH430" s="258"/>
      <c r="AI430" s="258"/>
      <c r="AJ430" s="258"/>
      <c r="AK430" s="269"/>
      <c r="AL430" s="258"/>
      <c r="AM430" s="270"/>
      <c r="AN430" s="271"/>
      <c r="AO430" s="258"/>
      <c r="AP430" s="259"/>
      <c r="AQ430" s="258"/>
      <c r="AR430" s="258"/>
      <c r="AS430" s="258"/>
      <c r="AT430" s="269"/>
      <c r="AU430" s="258"/>
      <c r="AV430" s="258"/>
      <c r="AW430" s="258"/>
      <c r="AX430" s="260"/>
      <c r="AY430" s="260"/>
      <c r="AZ430" s="259"/>
      <c r="BA430" s="259"/>
      <c r="BB430" s="259"/>
      <c r="BC430" s="259"/>
      <c r="BD430" s="259"/>
      <c r="BE430" s="258"/>
      <c r="BF430" s="258"/>
      <c r="BG430" s="258"/>
      <c r="BH430" s="258"/>
      <c r="BI430" s="258"/>
      <c r="BJ430" s="258"/>
      <c r="BK430" s="258"/>
      <c r="BL430" s="272"/>
      <c r="BM430" s="272"/>
      <c r="BN430" s="273"/>
      <c r="BO430" s="270"/>
      <c r="BP430" s="270"/>
      <c r="BQ430" s="270"/>
      <c r="BR430" s="270"/>
      <c r="BS430" s="270"/>
      <c r="BT430" s="273"/>
      <c r="BU430" s="258"/>
      <c r="BV430" s="269"/>
      <c r="BY430" s="261"/>
      <c r="BZ430" s="261"/>
      <c r="CD430" s="270"/>
    </row>
    <row r="431" spans="1:82" s="265" customFormat="1" x14ac:dyDescent="0.3">
      <c r="A431" s="262"/>
      <c r="B431" s="262"/>
      <c r="C431" s="262"/>
      <c r="D431" s="263"/>
      <c r="E431" s="264"/>
      <c r="F431" s="262"/>
      <c r="J431" s="266"/>
      <c r="U431" s="267"/>
      <c r="W431" s="268"/>
      <c r="Y431" s="268"/>
      <c r="Z431" s="258"/>
      <c r="AA431" s="258"/>
      <c r="AB431" s="258"/>
      <c r="AC431" s="258"/>
      <c r="AD431" s="258"/>
      <c r="AE431" s="258"/>
      <c r="AF431" s="258"/>
      <c r="AG431" s="258"/>
      <c r="AH431" s="258"/>
      <c r="AI431" s="258"/>
      <c r="AJ431" s="258"/>
      <c r="AK431" s="269"/>
      <c r="AL431" s="258"/>
      <c r="AM431" s="270"/>
      <c r="AN431" s="271"/>
      <c r="AO431" s="258"/>
      <c r="AP431" s="259"/>
      <c r="AQ431" s="258"/>
      <c r="AR431" s="258"/>
      <c r="AS431" s="258"/>
      <c r="AT431" s="269"/>
      <c r="AU431" s="258"/>
      <c r="AV431" s="258"/>
      <c r="AW431" s="258"/>
      <c r="AX431" s="260"/>
      <c r="AY431" s="260"/>
      <c r="AZ431" s="259"/>
      <c r="BA431" s="259"/>
      <c r="BB431" s="259"/>
      <c r="BC431" s="259"/>
      <c r="BD431" s="259"/>
      <c r="BE431" s="258"/>
      <c r="BF431" s="258"/>
      <c r="BG431" s="258"/>
      <c r="BH431" s="258"/>
      <c r="BI431" s="258"/>
      <c r="BJ431" s="258"/>
      <c r="BK431" s="258"/>
      <c r="BL431" s="272"/>
      <c r="BM431" s="272"/>
      <c r="BN431" s="273"/>
      <c r="BO431" s="270"/>
      <c r="BP431" s="270"/>
      <c r="BQ431" s="270"/>
      <c r="BR431" s="270"/>
      <c r="BS431" s="270"/>
      <c r="BT431" s="273"/>
      <c r="BU431" s="258"/>
      <c r="BV431" s="269"/>
      <c r="BY431" s="261"/>
      <c r="BZ431" s="261"/>
      <c r="CD431" s="270"/>
    </row>
    <row r="432" spans="1:82" s="265" customFormat="1" x14ac:dyDescent="0.3">
      <c r="A432" s="262"/>
      <c r="B432" s="262"/>
      <c r="C432" s="262"/>
      <c r="D432" s="263"/>
      <c r="E432" s="264"/>
      <c r="F432" s="262"/>
      <c r="J432" s="238"/>
      <c r="U432" s="267"/>
      <c r="W432" s="268"/>
      <c r="Y432" s="268"/>
      <c r="Z432" s="258"/>
      <c r="AA432" s="258"/>
      <c r="AB432" s="258"/>
      <c r="AC432" s="258"/>
      <c r="AD432" s="258"/>
      <c r="AE432" s="258"/>
      <c r="AF432" s="258"/>
      <c r="AG432" s="258"/>
      <c r="AH432" s="258"/>
      <c r="AI432" s="258"/>
      <c r="AJ432" s="258"/>
      <c r="AK432" s="269"/>
      <c r="AL432" s="258"/>
      <c r="AM432" s="270"/>
      <c r="AN432" s="271"/>
      <c r="AO432" s="258"/>
      <c r="AP432" s="259"/>
      <c r="AQ432" s="258"/>
      <c r="AR432" s="258"/>
      <c r="AS432" s="258"/>
      <c r="AT432" s="269"/>
      <c r="AU432" s="258"/>
      <c r="AV432" s="258"/>
      <c r="AW432" s="258"/>
      <c r="AX432" s="260"/>
      <c r="AY432" s="260"/>
      <c r="AZ432" s="259"/>
      <c r="BA432" s="259"/>
      <c r="BB432" s="259"/>
      <c r="BC432" s="259"/>
      <c r="BD432" s="259"/>
      <c r="BE432" s="258"/>
      <c r="BF432" s="258"/>
      <c r="BG432" s="258"/>
      <c r="BH432" s="258"/>
      <c r="BI432" s="258"/>
      <c r="BJ432" s="258"/>
      <c r="BK432" s="258"/>
      <c r="BL432" s="272"/>
      <c r="BM432" s="272"/>
      <c r="BN432" s="273"/>
      <c r="BO432" s="270"/>
      <c r="BP432" s="270"/>
      <c r="BQ432" s="270"/>
      <c r="BR432" s="270"/>
      <c r="BS432" s="270"/>
      <c r="BT432" s="273"/>
      <c r="BU432" s="258"/>
      <c r="BV432" s="269"/>
      <c r="BY432" s="261"/>
      <c r="BZ432" s="261"/>
      <c r="CD432" s="270"/>
    </row>
    <row r="433" spans="1:82" s="265" customFormat="1" x14ac:dyDescent="0.3">
      <c r="A433" s="262"/>
      <c r="B433" s="262"/>
      <c r="C433" s="262"/>
      <c r="D433" s="263"/>
      <c r="E433" s="264"/>
      <c r="F433" s="262"/>
      <c r="J433" s="266"/>
      <c r="U433" s="267"/>
      <c r="W433" s="268"/>
      <c r="Y433" s="268"/>
      <c r="Z433" s="258"/>
      <c r="AA433" s="258"/>
      <c r="AB433" s="258"/>
      <c r="AC433" s="258"/>
      <c r="AD433" s="258"/>
      <c r="AE433" s="258"/>
      <c r="AF433" s="258"/>
      <c r="AG433" s="258"/>
      <c r="AH433" s="258"/>
      <c r="AI433" s="258"/>
      <c r="AJ433" s="258"/>
      <c r="AK433" s="269"/>
      <c r="AL433" s="258"/>
      <c r="AM433" s="270"/>
      <c r="AN433" s="271"/>
      <c r="AO433" s="258"/>
      <c r="AP433" s="259"/>
      <c r="AQ433" s="258"/>
      <c r="AR433" s="258"/>
      <c r="AS433" s="258"/>
      <c r="AT433" s="269"/>
      <c r="AU433" s="258"/>
      <c r="AV433" s="258"/>
      <c r="AW433" s="258"/>
      <c r="AX433" s="260"/>
      <c r="AY433" s="260"/>
      <c r="AZ433" s="259"/>
      <c r="BA433" s="259"/>
      <c r="BB433" s="259"/>
      <c r="BC433" s="259"/>
      <c r="BD433" s="259"/>
      <c r="BE433" s="258"/>
      <c r="BF433" s="258"/>
      <c r="BG433" s="258"/>
      <c r="BH433" s="258"/>
      <c r="BI433" s="258"/>
      <c r="BJ433" s="258"/>
      <c r="BK433" s="258"/>
      <c r="BL433" s="272"/>
      <c r="BM433" s="272"/>
      <c r="BN433" s="273"/>
      <c r="BO433" s="270"/>
      <c r="BP433" s="270"/>
      <c r="BQ433" s="270"/>
      <c r="BR433" s="270"/>
      <c r="BS433" s="270"/>
      <c r="BT433" s="273"/>
      <c r="BU433" s="258"/>
      <c r="BV433" s="269"/>
      <c r="BY433" s="261"/>
      <c r="BZ433" s="261"/>
      <c r="CD433" s="270"/>
    </row>
    <row r="434" spans="1:82" s="265" customFormat="1" x14ac:dyDescent="0.3">
      <c r="A434" s="262"/>
      <c r="B434" s="262"/>
      <c r="C434" s="262"/>
      <c r="D434" s="263"/>
      <c r="E434" s="264"/>
      <c r="F434" s="262"/>
      <c r="J434" s="266"/>
      <c r="U434" s="267"/>
      <c r="W434" s="268"/>
      <c r="Y434" s="268"/>
      <c r="Z434" s="258"/>
      <c r="AA434" s="258"/>
      <c r="AB434" s="258"/>
      <c r="AC434" s="258"/>
      <c r="AD434" s="258"/>
      <c r="AE434" s="258"/>
      <c r="AF434" s="258"/>
      <c r="AG434" s="258"/>
      <c r="AH434" s="258"/>
      <c r="AI434" s="258"/>
      <c r="AJ434" s="258"/>
      <c r="AK434" s="269"/>
      <c r="AL434" s="258"/>
      <c r="AM434" s="270"/>
      <c r="AN434" s="271"/>
      <c r="AO434" s="258"/>
      <c r="AP434" s="259"/>
      <c r="AQ434" s="258"/>
      <c r="AR434" s="258"/>
      <c r="AS434" s="258"/>
      <c r="AT434" s="269"/>
      <c r="AU434" s="258"/>
      <c r="AV434" s="258"/>
      <c r="AW434" s="258"/>
      <c r="AX434" s="260"/>
      <c r="AY434" s="260"/>
      <c r="AZ434" s="259"/>
      <c r="BA434" s="259"/>
      <c r="BB434" s="259"/>
      <c r="BC434" s="259"/>
      <c r="BD434" s="259"/>
      <c r="BE434" s="258"/>
      <c r="BF434" s="258"/>
      <c r="BG434" s="258"/>
      <c r="BH434" s="258"/>
      <c r="BI434" s="258"/>
      <c r="BJ434" s="258"/>
      <c r="BK434" s="258"/>
      <c r="BL434" s="272"/>
      <c r="BM434" s="272"/>
      <c r="BN434" s="273"/>
      <c r="BO434" s="270"/>
      <c r="BP434" s="270"/>
      <c r="BQ434" s="270"/>
      <c r="BR434" s="270"/>
      <c r="BS434" s="270"/>
      <c r="BT434" s="273"/>
      <c r="BU434" s="258"/>
      <c r="BV434" s="269"/>
      <c r="BY434" s="261"/>
      <c r="BZ434" s="261"/>
      <c r="CD434" s="270"/>
    </row>
    <row r="435" spans="1:82" s="265" customFormat="1" x14ac:dyDescent="0.3">
      <c r="A435" s="262"/>
      <c r="B435" s="262"/>
      <c r="C435" s="262"/>
      <c r="D435" s="263"/>
      <c r="E435" s="264"/>
      <c r="F435" s="262"/>
      <c r="J435" s="266"/>
      <c r="U435" s="267"/>
      <c r="W435" s="268"/>
      <c r="Y435" s="268"/>
      <c r="Z435" s="258"/>
      <c r="AA435" s="258"/>
      <c r="AB435" s="258"/>
      <c r="AC435" s="258"/>
      <c r="AD435" s="258"/>
      <c r="AE435" s="258"/>
      <c r="AF435" s="258"/>
      <c r="AG435" s="258"/>
      <c r="AH435" s="258"/>
      <c r="AI435" s="258"/>
      <c r="AJ435" s="258"/>
      <c r="AK435" s="269"/>
      <c r="AL435" s="258"/>
      <c r="AM435" s="270"/>
      <c r="AN435" s="271"/>
      <c r="AO435" s="258"/>
      <c r="AP435" s="259"/>
      <c r="AQ435" s="258"/>
      <c r="AR435" s="258"/>
      <c r="AS435" s="258"/>
      <c r="AT435" s="269"/>
      <c r="AU435" s="258"/>
      <c r="AV435" s="258"/>
      <c r="AW435" s="258"/>
      <c r="AX435" s="260"/>
      <c r="AY435" s="260"/>
      <c r="AZ435" s="259"/>
      <c r="BA435" s="259"/>
      <c r="BB435" s="259"/>
      <c r="BC435" s="259"/>
      <c r="BD435" s="259"/>
      <c r="BE435" s="258"/>
      <c r="BF435" s="258"/>
      <c r="BG435" s="258"/>
      <c r="BH435" s="258"/>
      <c r="BI435" s="258"/>
      <c r="BJ435" s="258"/>
      <c r="BK435" s="258"/>
      <c r="BL435" s="272"/>
      <c r="BM435" s="272"/>
      <c r="BN435" s="273"/>
      <c r="BO435" s="270"/>
      <c r="BP435" s="270"/>
      <c r="BQ435" s="270"/>
      <c r="BR435" s="270"/>
      <c r="BS435" s="270"/>
      <c r="BT435" s="273"/>
      <c r="BU435" s="258"/>
      <c r="BV435" s="269"/>
      <c r="BY435" s="261"/>
      <c r="BZ435" s="261"/>
      <c r="CD435" s="270"/>
    </row>
    <row r="436" spans="1:82" s="265" customFormat="1" x14ac:dyDescent="0.3">
      <c r="A436" s="262"/>
      <c r="B436" s="262"/>
      <c r="C436" s="262"/>
      <c r="D436" s="263"/>
      <c r="E436" s="264"/>
      <c r="F436" s="262"/>
      <c r="J436" s="266"/>
      <c r="U436" s="267"/>
      <c r="W436" s="268"/>
      <c r="Y436" s="268"/>
      <c r="Z436" s="258"/>
      <c r="AA436" s="258"/>
      <c r="AB436" s="258"/>
      <c r="AC436" s="258"/>
      <c r="AD436" s="258"/>
      <c r="AE436" s="258"/>
      <c r="AF436" s="258"/>
      <c r="AG436" s="258"/>
      <c r="AH436" s="258"/>
      <c r="AI436" s="258"/>
      <c r="AJ436" s="258"/>
      <c r="AK436" s="269"/>
      <c r="AL436" s="258"/>
      <c r="AM436" s="270"/>
      <c r="AN436" s="271"/>
      <c r="AO436" s="258"/>
      <c r="AP436" s="259"/>
      <c r="AQ436" s="258"/>
      <c r="AR436" s="258"/>
      <c r="AS436" s="258"/>
      <c r="AT436" s="269"/>
      <c r="AU436" s="258"/>
      <c r="AV436" s="258"/>
      <c r="AW436" s="258"/>
      <c r="AX436" s="260"/>
      <c r="AY436" s="260"/>
      <c r="AZ436" s="259"/>
      <c r="BA436" s="259"/>
      <c r="BB436" s="259"/>
      <c r="BC436" s="259"/>
      <c r="BD436" s="259"/>
      <c r="BE436" s="258"/>
      <c r="BF436" s="258"/>
      <c r="BG436" s="258"/>
      <c r="BH436" s="258"/>
      <c r="BI436" s="258"/>
      <c r="BJ436" s="258"/>
      <c r="BK436" s="258"/>
      <c r="BL436" s="272"/>
      <c r="BM436" s="272"/>
      <c r="BN436" s="273"/>
      <c r="BO436" s="270"/>
      <c r="BP436" s="270"/>
      <c r="BQ436" s="270"/>
      <c r="BR436" s="270"/>
      <c r="BS436" s="270"/>
      <c r="BT436" s="273"/>
      <c r="BU436" s="258"/>
      <c r="BV436" s="269"/>
      <c r="BY436" s="261"/>
      <c r="BZ436" s="261"/>
      <c r="CD436" s="270"/>
    </row>
    <row r="437" spans="1:82" s="265" customFormat="1" x14ac:dyDescent="0.3">
      <c r="A437" s="262"/>
      <c r="B437" s="262"/>
      <c r="C437" s="262"/>
      <c r="D437" s="263"/>
      <c r="E437" s="264"/>
      <c r="F437" s="262"/>
      <c r="J437" s="266"/>
      <c r="U437" s="267"/>
      <c r="W437" s="268"/>
      <c r="Y437" s="268"/>
      <c r="Z437" s="258"/>
      <c r="AA437" s="258"/>
      <c r="AB437" s="258"/>
      <c r="AC437" s="258"/>
      <c r="AD437" s="258"/>
      <c r="AE437" s="258"/>
      <c r="AF437" s="258"/>
      <c r="AG437" s="258"/>
      <c r="AH437" s="258"/>
      <c r="AI437" s="258"/>
      <c r="AJ437" s="258"/>
      <c r="AK437" s="269"/>
      <c r="AL437" s="258"/>
      <c r="AM437" s="270"/>
      <c r="AN437" s="271"/>
      <c r="AO437" s="258"/>
      <c r="AP437" s="259"/>
      <c r="AQ437" s="258"/>
      <c r="AR437" s="258"/>
      <c r="AS437" s="258"/>
      <c r="AT437" s="269"/>
      <c r="AU437" s="258"/>
      <c r="AV437" s="258"/>
      <c r="AW437" s="258"/>
      <c r="AX437" s="260"/>
      <c r="AY437" s="260"/>
      <c r="AZ437" s="259"/>
      <c r="BA437" s="259"/>
      <c r="BB437" s="259"/>
      <c r="BC437" s="259"/>
      <c r="BD437" s="259"/>
      <c r="BE437" s="258"/>
      <c r="BF437" s="258"/>
      <c r="BG437" s="258"/>
      <c r="BH437" s="258"/>
      <c r="BI437" s="258"/>
      <c r="BJ437" s="258"/>
      <c r="BK437" s="258"/>
      <c r="BL437" s="272"/>
      <c r="BM437" s="272"/>
      <c r="BN437" s="273"/>
      <c r="BO437" s="270"/>
      <c r="BP437" s="270"/>
      <c r="BQ437" s="270"/>
      <c r="BR437" s="270"/>
      <c r="BS437" s="270"/>
      <c r="BT437" s="273"/>
      <c r="BU437" s="258"/>
      <c r="BV437" s="269"/>
      <c r="BY437" s="261"/>
      <c r="BZ437" s="261"/>
      <c r="CD437" s="270"/>
    </row>
    <row r="438" spans="1:82" s="265" customFormat="1" x14ac:dyDescent="0.3">
      <c r="A438" s="262"/>
      <c r="B438" s="262"/>
      <c r="C438" s="262"/>
      <c r="D438" s="263"/>
      <c r="E438" s="264"/>
      <c r="F438" s="262"/>
      <c r="J438" s="266"/>
      <c r="U438" s="267"/>
      <c r="W438" s="268"/>
      <c r="Y438" s="268"/>
      <c r="Z438" s="258"/>
      <c r="AA438" s="258"/>
      <c r="AB438" s="258"/>
      <c r="AC438" s="258"/>
      <c r="AD438" s="258"/>
      <c r="AE438" s="258"/>
      <c r="AF438" s="258"/>
      <c r="AG438" s="258"/>
      <c r="AH438" s="258"/>
      <c r="AI438" s="258"/>
      <c r="AJ438" s="258"/>
      <c r="AK438" s="269"/>
      <c r="AL438" s="258"/>
      <c r="AM438" s="270"/>
      <c r="AN438" s="271"/>
      <c r="AO438" s="258"/>
      <c r="AP438" s="259"/>
      <c r="AQ438" s="258"/>
      <c r="AR438" s="258"/>
      <c r="AS438" s="258"/>
      <c r="AT438" s="269"/>
      <c r="AU438" s="258"/>
      <c r="AV438" s="258"/>
      <c r="AW438" s="258"/>
      <c r="AX438" s="260"/>
      <c r="AY438" s="260"/>
      <c r="AZ438" s="259"/>
      <c r="BA438" s="259"/>
      <c r="BB438" s="259"/>
      <c r="BC438" s="259"/>
      <c r="BD438" s="259"/>
      <c r="BE438" s="258"/>
      <c r="BF438" s="258"/>
      <c r="BG438" s="258"/>
      <c r="BH438" s="258"/>
      <c r="BI438" s="258"/>
      <c r="BJ438" s="258"/>
      <c r="BK438" s="258"/>
      <c r="BL438" s="272"/>
      <c r="BM438" s="272"/>
      <c r="BN438" s="273"/>
      <c r="BO438" s="270"/>
      <c r="BP438" s="270"/>
      <c r="BQ438" s="270"/>
      <c r="BR438" s="270"/>
      <c r="BS438" s="270"/>
      <c r="BT438" s="273"/>
      <c r="BU438" s="258"/>
      <c r="BV438" s="269"/>
      <c r="BY438" s="261"/>
      <c r="BZ438" s="261"/>
      <c r="CD438" s="270"/>
    </row>
    <row r="439" spans="1:82" s="265" customFormat="1" x14ac:dyDescent="0.3">
      <c r="A439" s="262"/>
      <c r="B439" s="262"/>
      <c r="C439" s="262"/>
      <c r="D439" s="263"/>
      <c r="E439" s="264"/>
      <c r="F439" s="262"/>
      <c r="J439" s="266"/>
      <c r="U439" s="267"/>
      <c r="W439" s="268"/>
      <c r="Y439" s="268"/>
      <c r="Z439" s="258"/>
      <c r="AA439" s="258"/>
      <c r="AB439" s="258"/>
      <c r="AC439" s="258"/>
      <c r="AD439" s="258"/>
      <c r="AE439" s="258"/>
      <c r="AF439" s="258"/>
      <c r="AG439" s="258"/>
      <c r="AH439" s="258"/>
      <c r="AI439" s="258"/>
      <c r="AJ439" s="258"/>
      <c r="AK439" s="269"/>
      <c r="AL439" s="258"/>
      <c r="AM439" s="270"/>
      <c r="AN439" s="271"/>
      <c r="AO439" s="258"/>
      <c r="AP439" s="259"/>
      <c r="AQ439" s="258"/>
      <c r="AR439" s="258"/>
      <c r="AS439" s="258"/>
      <c r="AT439" s="269"/>
      <c r="AU439" s="258"/>
      <c r="AV439" s="258"/>
      <c r="AW439" s="258"/>
      <c r="AX439" s="260"/>
      <c r="AY439" s="260"/>
      <c r="AZ439" s="259"/>
      <c r="BA439" s="259"/>
      <c r="BB439" s="259"/>
      <c r="BC439" s="259"/>
      <c r="BD439" s="259"/>
      <c r="BE439" s="258"/>
      <c r="BF439" s="258"/>
      <c r="BG439" s="258"/>
      <c r="BH439" s="258"/>
      <c r="BI439" s="258"/>
      <c r="BJ439" s="258"/>
      <c r="BK439" s="258"/>
      <c r="BL439" s="272"/>
      <c r="BM439" s="272"/>
      <c r="BN439" s="273"/>
      <c r="BO439" s="270"/>
      <c r="BP439" s="270"/>
      <c r="BQ439" s="270"/>
      <c r="BR439" s="270"/>
      <c r="BS439" s="270"/>
      <c r="BT439" s="273"/>
      <c r="BU439" s="258"/>
      <c r="BV439" s="269"/>
      <c r="BY439" s="261"/>
      <c r="BZ439" s="261"/>
      <c r="CD439" s="270"/>
    </row>
    <row r="440" spans="1:82" s="265" customFormat="1" x14ac:dyDescent="0.3">
      <c r="A440" s="262"/>
      <c r="B440" s="262"/>
      <c r="C440" s="262"/>
      <c r="D440" s="263"/>
      <c r="E440" s="264"/>
      <c r="F440" s="262"/>
      <c r="J440" s="266"/>
      <c r="U440" s="267"/>
      <c r="W440" s="268"/>
      <c r="Y440" s="268"/>
      <c r="Z440" s="258"/>
      <c r="AA440" s="258"/>
      <c r="AB440" s="258"/>
      <c r="AC440" s="258"/>
      <c r="AD440" s="258"/>
      <c r="AE440" s="258"/>
      <c r="AF440" s="258"/>
      <c r="AG440" s="258"/>
      <c r="AH440" s="258"/>
      <c r="AI440" s="258"/>
      <c r="AJ440" s="258"/>
      <c r="AK440" s="269"/>
      <c r="AL440" s="258"/>
      <c r="AM440" s="270"/>
      <c r="AN440" s="271"/>
      <c r="AO440" s="258"/>
      <c r="AP440" s="259"/>
      <c r="AQ440" s="258"/>
      <c r="AR440" s="258"/>
      <c r="AS440" s="258"/>
      <c r="AT440" s="269"/>
      <c r="AU440" s="258"/>
      <c r="AV440" s="258"/>
      <c r="AW440" s="258"/>
      <c r="AX440" s="260"/>
      <c r="AY440" s="260"/>
      <c r="AZ440" s="259"/>
      <c r="BA440" s="259"/>
      <c r="BB440" s="259"/>
      <c r="BC440" s="259"/>
      <c r="BD440" s="259"/>
      <c r="BE440" s="258"/>
      <c r="BF440" s="258"/>
      <c r="BG440" s="258"/>
      <c r="BH440" s="258"/>
      <c r="BI440" s="258"/>
      <c r="BJ440" s="258"/>
      <c r="BK440" s="258"/>
      <c r="BL440" s="272"/>
      <c r="BM440" s="272"/>
      <c r="BN440" s="273"/>
      <c r="BO440" s="270"/>
      <c r="BP440" s="270"/>
      <c r="BQ440" s="270"/>
      <c r="BR440" s="270"/>
      <c r="BS440" s="270"/>
      <c r="BT440" s="273"/>
      <c r="BU440" s="258"/>
      <c r="BV440" s="269"/>
      <c r="BY440" s="261"/>
      <c r="BZ440" s="261"/>
      <c r="CD440" s="270"/>
    </row>
    <row r="441" spans="1:82" s="265" customFormat="1" x14ac:dyDescent="0.3">
      <c r="A441" s="262"/>
      <c r="B441" s="262"/>
      <c r="C441" s="262"/>
      <c r="D441" s="263"/>
      <c r="E441" s="264"/>
      <c r="F441" s="262"/>
      <c r="J441" s="266"/>
      <c r="U441" s="267"/>
      <c r="W441" s="268"/>
      <c r="Y441" s="268"/>
      <c r="Z441" s="258"/>
      <c r="AA441" s="258"/>
      <c r="AB441" s="258"/>
      <c r="AC441" s="258"/>
      <c r="AD441" s="258"/>
      <c r="AE441" s="258"/>
      <c r="AF441" s="258"/>
      <c r="AG441" s="258"/>
      <c r="AH441" s="258"/>
      <c r="AI441" s="258"/>
      <c r="AJ441" s="258"/>
      <c r="AK441" s="269"/>
      <c r="AL441" s="258"/>
      <c r="AM441" s="270"/>
      <c r="AN441" s="271"/>
      <c r="AO441" s="258"/>
      <c r="AP441" s="259"/>
      <c r="AQ441" s="258"/>
      <c r="AR441" s="258"/>
      <c r="AS441" s="258"/>
      <c r="AT441" s="269"/>
      <c r="AU441" s="258"/>
      <c r="AV441" s="258"/>
      <c r="AW441" s="258"/>
      <c r="AX441" s="260"/>
      <c r="AY441" s="260"/>
      <c r="AZ441" s="259"/>
      <c r="BA441" s="259"/>
      <c r="BB441" s="259"/>
      <c r="BC441" s="259"/>
      <c r="BD441" s="259"/>
      <c r="BE441" s="258"/>
      <c r="BF441" s="258"/>
      <c r="BG441" s="258"/>
      <c r="BH441" s="258"/>
      <c r="BI441" s="258"/>
      <c r="BJ441" s="258"/>
      <c r="BK441" s="258"/>
      <c r="BL441" s="272"/>
      <c r="BM441" s="272"/>
      <c r="BN441" s="273"/>
      <c r="BO441" s="270"/>
      <c r="BP441" s="270"/>
      <c r="BQ441" s="270"/>
      <c r="BR441" s="270"/>
      <c r="BS441" s="270"/>
      <c r="BT441" s="273"/>
      <c r="BU441" s="258"/>
      <c r="BV441" s="269"/>
      <c r="BY441" s="261"/>
      <c r="BZ441" s="261"/>
      <c r="CD441" s="270"/>
    </row>
    <row r="442" spans="1:82" s="265" customFormat="1" x14ac:dyDescent="0.3">
      <c r="A442" s="262"/>
      <c r="B442" s="262"/>
      <c r="C442" s="262"/>
      <c r="D442" s="263"/>
      <c r="E442" s="264"/>
      <c r="F442" s="262"/>
      <c r="J442" s="266"/>
      <c r="U442" s="267"/>
      <c r="W442" s="268"/>
      <c r="Y442" s="268"/>
      <c r="Z442" s="258"/>
      <c r="AA442" s="258"/>
      <c r="AB442" s="258"/>
      <c r="AC442" s="258"/>
      <c r="AD442" s="258"/>
      <c r="AE442" s="258"/>
      <c r="AF442" s="258"/>
      <c r="AG442" s="258"/>
      <c r="AH442" s="258"/>
      <c r="AI442" s="258"/>
      <c r="AJ442" s="258"/>
      <c r="AK442" s="269"/>
      <c r="AL442" s="258"/>
      <c r="AM442" s="270"/>
      <c r="AN442" s="271"/>
      <c r="AO442" s="258"/>
      <c r="AP442" s="259"/>
      <c r="AQ442" s="258"/>
      <c r="AR442" s="258"/>
      <c r="AS442" s="258"/>
      <c r="AT442" s="269"/>
      <c r="AU442" s="258"/>
      <c r="AV442" s="258"/>
      <c r="AW442" s="258"/>
      <c r="AX442" s="260"/>
      <c r="AY442" s="260"/>
      <c r="AZ442" s="259"/>
      <c r="BA442" s="259"/>
      <c r="BB442" s="259"/>
      <c r="BC442" s="259"/>
      <c r="BD442" s="259"/>
      <c r="BE442" s="258"/>
      <c r="BF442" s="258"/>
      <c r="BG442" s="258"/>
      <c r="BH442" s="258"/>
      <c r="BI442" s="258"/>
      <c r="BJ442" s="258"/>
      <c r="BK442" s="258"/>
      <c r="BL442" s="272"/>
      <c r="BM442" s="272"/>
      <c r="BN442" s="273"/>
      <c r="BO442" s="270"/>
      <c r="BP442" s="270"/>
      <c r="BQ442" s="270"/>
      <c r="BR442" s="270"/>
      <c r="BS442" s="270"/>
      <c r="BT442" s="273"/>
      <c r="BU442" s="258"/>
      <c r="BV442" s="269"/>
      <c r="BY442" s="261"/>
      <c r="BZ442" s="261"/>
      <c r="CD442" s="270"/>
    </row>
    <row r="443" spans="1:82" s="265" customFormat="1" x14ac:dyDescent="0.3">
      <c r="A443" s="262"/>
      <c r="B443" s="262"/>
      <c r="C443" s="262"/>
      <c r="D443" s="263"/>
      <c r="E443" s="264"/>
      <c r="F443" s="262"/>
      <c r="J443" s="266"/>
      <c r="U443" s="267"/>
      <c r="W443" s="268"/>
      <c r="Y443" s="268"/>
      <c r="Z443" s="258"/>
      <c r="AA443" s="258"/>
      <c r="AB443" s="258"/>
      <c r="AC443" s="258"/>
      <c r="AD443" s="258"/>
      <c r="AE443" s="258"/>
      <c r="AF443" s="258"/>
      <c r="AG443" s="258"/>
      <c r="AH443" s="258"/>
      <c r="AI443" s="258"/>
      <c r="AJ443" s="258"/>
      <c r="AK443" s="269"/>
      <c r="AL443" s="258"/>
      <c r="AM443" s="270"/>
      <c r="AN443" s="271"/>
      <c r="AO443" s="258"/>
      <c r="AP443" s="259"/>
      <c r="AQ443" s="258"/>
      <c r="AR443" s="258"/>
      <c r="AS443" s="258"/>
      <c r="AT443" s="269"/>
      <c r="AU443" s="258"/>
      <c r="AV443" s="258"/>
      <c r="AW443" s="258"/>
      <c r="AX443" s="260"/>
      <c r="AY443" s="260"/>
      <c r="AZ443" s="259"/>
      <c r="BA443" s="259"/>
      <c r="BB443" s="259"/>
      <c r="BC443" s="259"/>
      <c r="BD443" s="259"/>
      <c r="BE443" s="258"/>
      <c r="BF443" s="258"/>
      <c r="BG443" s="258"/>
      <c r="BH443" s="258"/>
      <c r="BI443" s="258"/>
      <c r="BJ443" s="258"/>
      <c r="BK443" s="258"/>
      <c r="BL443" s="272"/>
      <c r="BM443" s="272"/>
      <c r="BN443" s="273"/>
      <c r="BO443" s="270"/>
      <c r="BP443" s="270"/>
      <c r="BQ443" s="270"/>
      <c r="BR443" s="270"/>
      <c r="BS443" s="270"/>
      <c r="BT443" s="273"/>
      <c r="BU443" s="258"/>
      <c r="BV443" s="269"/>
      <c r="BY443" s="261"/>
      <c r="BZ443" s="261"/>
      <c r="CD443" s="270"/>
    </row>
    <row r="444" spans="1:82" s="265" customFormat="1" x14ac:dyDescent="0.3">
      <c r="A444" s="262"/>
      <c r="B444" s="262"/>
      <c r="C444" s="262"/>
      <c r="D444" s="263"/>
      <c r="E444" s="264"/>
      <c r="F444" s="262"/>
      <c r="J444" s="279"/>
      <c r="U444" s="267"/>
      <c r="W444" s="268"/>
      <c r="Y444" s="268"/>
      <c r="Z444" s="258"/>
      <c r="AA444" s="258"/>
      <c r="AB444" s="258"/>
      <c r="AC444" s="258"/>
      <c r="AD444" s="258"/>
      <c r="AE444" s="258"/>
      <c r="AF444" s="258"/>
      <c r="AG444" s="258"/>
      <c r="AH444" s="258"/>
      <c r="AI444" s="258"/>
      <c r="AJ444" s="258"/>
      <c r="AK444" s="269"/>
      <c r="AL444" s="258"/>
      <c r="AM444" s="270"/>
      <c r="AN444" s="271"/>
      <c r="AO444" s="258"/>
      <c r="AP444" s="259"/>
      <c r="AQ444" s="258"/>
      <c r="AR444" s="258"/>
      <c r="AS444" s="258"/>
      <c r="AT444" s="269"/>
      <c r="AU444" s="258"/>
      <c r="AV444" s="258"/>
      <c r="AW444" s="258"/>
      <c r="AX444" s="260"/>
      <c r="AY444" s="260"/>
      <c r="AZ444" s="259"/>
      <c r="BA444" s="259"/>
      <c r="BB444" s="259"/>
      <c r="BC444" s="259"/>
      <c r="BD444" s="259"/>
      <c r="BE444" s="258"/>
      <c r="BF444" s="258"/>
      <c r="BG444" s="258"/>
      <c r="BH444" s="258"/>
      <c r="BI444" s="258"/>
      <c r="BJ444" s="258"/>
      <c r="BK444" s="258"/>
      <c r="BL444" s="272"/>
      <c r="BM444" s="272"/>
      <c r="BN444" s="273"/>
      <c r="BO444" s="270"/>
      <c r="BP444" s="270"/>
      <c r="BQ444" s="270"/>
      <c r="BR444" s="270"/>
      <c r="BS444" s="270"/>
      <c r="BT444" s="273"/>
      <c r="BU444" s="258"/>
      <c r="BV444" s="269"/>
      <c r="BY444" s="261"/>
      <c r="BZ444" s="261"/>
      <c r="CD444" s="270"/>
    </row>
    <row r="445" spans="1:82" s="265" customFormat="1" x14ac:dyDescent="0.3">
      <c r="A445" s="262"/>
      <c r="B445" s="262"/>
      <c r="C445" s="262"/>
      <c r="D445" s="263"/>
      <c r="E445" s="264"/>
      <c r="F445" s="262"/>
      <c r="J445" s="247"/>
      <c r="U445" s="267"/>
      <c r="W445" s="268"/>
      <c r="Y445" s="268"/>
      <c r="Z445" s="258"/>
      <c r="AA445" s="258"/>
      <c r="AB445" s="258"/>
      <c r="AC445" s="258"/>
      <c r="AD445" s="258"/>
      <c r="AE445" s="258"/>
      <c r="AF445" s="258"/>
      <c r="AG445" s="258"/>
      <c r="AH445" s="258"/>
      <c r="AI445" s="258"/>
      <c r="AJ445" s="258"/>
      <c r="AK445" s="269"/>
      <c r="AL445" s="258"/>
      <c r="AM445" s="270"/>
      <c r="AN445" s="271"/>
      <c r="AO445" s="258"/>
      <c r="AP445" s="259"/>
      <c r="AQ445" s="258"/>
      <c r="AR445" s="258"/>
      <c r="AS445" s="258"/>
      <c r="AT445" s="269"/>
      <c r="AU445" s="258"/>
      <c r="AV445" s="258"/>
      <c r="AW445" s="258"/>
      <c r="AX445" s="260"/>
      <c r="AY445" s="260"/>
      <c r="AZ445" s="259"/>
      <c r="BA445" s="259"/>
      <c r="BB445" s="259"/>
      <c r="BC445" s="259"/>
      <c r="BD445" s="259"/>
      <c r="BE445" s="258"/>
      <c r="BF445" s="258"/>
      <c r="BG445" s="258"/>
      <c r="BH445" s="258"/>
      <c r="BI445" s="258"/>
      <c r="BJ445" s="258"/>
      <c r="BK445" s="258"/>
      <c r="BL445" s="272"/>
      <c r="BM445" s="272"/>
      <c r="BN445" s="273"/>
      <c r="BO445" s="270"/>
      <c r="BP445" s="270"/>
      <c r="BQ445" s="270"/>
      <c r="BR445" s="270"/>
      <c r="BS445" s="270"/>
      <c r="BT445" s="273"/>
      <c r="BU445" s="258"/>
      <c r="BV445" s="269"/>
      <c r="BY445" s="261"/>
      <c r="BZ445" s="261"/>
      <c r="CD445" s="270"/>
    </row>
    <row r="446" spans="1:82" s="265" customFormat="1" x14ac:dyDescent="0.3">
      <c r="A446" s="262"/>
      <c r="B446" s="262"/>
      <c r="C446" s="262"/>
      <c r="D446" s="263"/>
      <c r="E446" s="264"/>
      <c r="F446" s="262"/>
      <c r="J446" s="256"/>
      <c r="U446" s="267"/>
      <c r="W446" s="268"/>
      <c r="Y446" s="268"/>
      <c r="Z446" s="258"/>
      <c r="AA446" s="258"/>
      <c r="AB446" s="258"/>
      <c r="AC446" s="258"/>
      <c r="AD446" s="258"/>
      <c r="AE446" s="258"/>
      <c r="AF446" s="258"/>
      <c r="AG446" s="258"/>
      <c r="AH446" s="258"/>
      <c r="AI446" s="258"/>
      <c r="AJ446" s="258"/>
      <c r="AK446" s="269"/>
      <c r="AL446" s="258"/>
      <c r="AM446" s="270"/>
      <c r="AN446" s="271"/>
      <c r="AO446" s="258"/>
      <c r="AP446" s="259"/>
      <c r="AQ446" s="258"/>
      <c r="AR446" s="258"/>
      <c r="AS446" s="258"/>
      <c r="AT446" s="269"/>
      <c r="AU446" s="258"/>
      <c r="AV446" s="258"/>
      <c r="AW446" s="258"/>
      <c r="AX446" s="260"/>
      <c r="AY446" s="260"/>
      <c r="AZ446" s="259"/>
      <c r="BA446" s="259"/>
      <c r="BB446" s="259"/>
      <c r="BC446" s="259"/>
      <c r="BD446" s="259"/>
      <c r="BE446" s="258"/>
      <c r="BF446" s="258"/>
      <c r="BG446" s="258"/>
      <c r="BH446" s="258"/>
      <c r="BI446" s="258"/>
      <c r="BJ446" s="258"/>
      <c r="BK446" s="258"/>
      <c r="BL446" s="272"/>
      <c r="BM446" s="272"/>
      <c r="BN446" s="273"/>
      <c r="BO446" s="270"/>
      <c r="BP446" s="270"/>
      <c r="BQ446" s="270"/>
      <c r="BR446" s="270"/>
      <c r="BS446" s="270"/>
      <c r="BT446" s="273"/>
      <c r="BU446" s="258"/>
      <c r="BV446" s="269"/>
      <c r="BY446" s="261"/>
      <c r="BZ446" s="261"/>
      <c r="CD446" s="270"/>
    </row>
    <row r="447" spans="1:82" s="265" customFormat="1" x14ac:dyDescent="0.3">
      <c r="A447" s="262"/>
      <c r="B447" s="262"/>
      <c r="C447" s="262"/>
      <c r="D447" s="263"/>
      <c r="E447" s="264"/>
      <c r="F447" s="262"/>
      <c r="J447" s="238"/>
      <c r="U447" s="267"/>
      <c r="W447" s="268"/>
      <c r="Y447" s="268"/>
      <c r="Z447" s="258"/>
      <c r="AA447" s="258"/>
      <c r="AB447" s="258"/>
      <c r="AC447" s="258"/>
      <c r="AD447" s="258"/>
      <c r="AE447" s="258"/>
      <c r="AF447" s="258"/>
      <c r="AG447" s="258"/>
      <c r="AH447" s="258"/>
      <c r="AI447" s="258"/>
      <c r="AJ447" s="258"/>
      <c r="AK447" s="269"/>
      <c r="AL447" s="258"/>
      <c r="AM447" s="270"/>
      <c r="AN447" s="271"/>
      <c r="AO447" s="258"/>
      <c r="AP447" s="259"/>
      <c r="AQ447" s="258"/>
      <c r="AR447" s="258"/>
      <c r="AS447" s="258"/>
      <c r="AT447" s="269"/>
      <c r="AU447" s="258"/>
      <c r="AV447" s="258"/>
      <c r="AW447" s="258"/>
      <c r="AX447" s="260"/>
      <c r="AY447" s="260"/>
      <c r="AZ447" s="259"/>
      <c r="BA447" s="259"/>
      <c r="BB447" s="259"/>
      <c r="BC447" s="259"/>
      <c r="BD447" s="259"/>
      <c r="BE447" s="258"/>
      <c r="BF447" s="258"/>
      <c r="BG447" s="258"/>
      <c r="BH447" s="258"/>
      <c r="BI447" s="258"/>
      <c r="BJ447" s="258"/>
      <c r="BK447" s="258"/>
      <c r="BL447" s="272"/>
      <c r="BM447" s="272"/>
      <c r="BN447" s="273"/>
      <c r="BO447" s="270"/>
      <c r="BP447" s="270"/>
      <c r="BQ447" s="270"/>
      <c r="BR447" s="270"/>
      <c r="BS447" s="270"/>
      <c r="BT447" s="273"/>
      <c r="BU447" s="258"/>
      <c r="BV447" s="269"/>
      <c r="BY447" s="261"/>
      <c r="BZ447" s="261"/>
      <c r="CD447" s="270"/>
    </row>
    <row r="448" spans="1:82" s="265" customFormat="1" x14ac:dyDescent="0.3">
      <c r="A448" s="262"/>
      <c r="B448" s="262"/>
      <c r="C448" s="262"/>
      <c r="D448" s="263"/>
      <c r="E448" s="264"/>
      <c r="F448" s="262"/>
      <c r="J448" s="277"/>
      <c r="U448" s="267"/>
      <c r="W448" s="268"/>
      <c r="Y448" s="268"/>
      <c r="Z448" s="258"/>
      <c r="AA448" s="258"/>
      <c r="AB448" s="258"/>
      <c r="AC448" s="258"/>
      <c r="AD448" s="258"/>
      <c r="AE448" s="258"/>
      <c r="AF448" s="258"/>
      <c r="AG448" s="258"/>
      <c r="AH448" s="258"/>
      <c r="AI448" s="258"/>
      <c r="AJ448" s="258"/>
      <c r="AK448" s="269"/>
      <c r="AL448" s="258"/>
      <c r="AM448" s="270"/>
      <c r="AN448" s="271"/>
      <c r="AO448" s="258"/>
      <c r="AP448" s="259"/>
      <c r="AQ448" s="258"/>
      <c r="AR448" s="258"/>
      <c r="AS448" s="258"/>
      <c r="AT448" s="269"/>
      <c r="AU448" s="258"/>
      <c r="AV448" s="258"/>
      <c r="AW448" s="258"/>
      <c r="AX448" s="260"/>
      <c r="AY448" s="260"/>
      <c r="AZ448" s="259"/>
      <c r="BA448" s="259"/>
      <c r="BB448" s="259"/>
      <c r="BC448" s="259"/>
      <c r="BD448" s="259"/>
      <c r="BE448" s="258"/>
      <c r="BF448" s="258"/>
      <c r="BG448" s="258"/>
      <c r="BH448" s="258"/>
      <c r="BI448" s="258"/>
      <c r="BJ448" s="258"/>
      <c r="BK448" s="258"/>
      <c r="BL448" s="272"/>
      <c r="BM448" s="272"/>
      <c r="BN448" s="273"/>
      <c r="BO448" s="270"/>
      <c r="BP448" s="270"/>
      <c r="BQ448" s="270"/>
      <c r="BR448" s="270"/>
      <c r="BS448" s="270"/>
      <c r="BT448" s="273"/>
      <c r="BU448" s="258"/>
      <c r="BV448" s="269"/>
      <c r="BY448" s="261"/>
      <c r="BZ448" s="261"/>
      <c r="CD448" s="270"/>
    </row>
    <row r="449" spans="1:82" s="265" customFormat="1" x14ac:dyDescent="0.3">
      <c r="A449" s="262"/>
      <c r="B449" s="262"/>
      <c r="C449" s="262"/>
      <c r="D449" s="263"/>
      <c r="E449" s="264"/>
      <c r="F449" s="262"/>
      <c r="J449" s="238"/>
      <c r="U449" s="267"/>
      <c r="W449" s="268"/>
      <c r="Y449" s="268"/>
      <c r="Z449" s="258"/>
      <c r="AA449" s="258"/>
      <c r="AB449" s="258"/>
      <c r="AC449" s="258"/>
      <c r="AD449" s="258"/>
      <c r="AE449" s="258"/>
      <c r="AF449" s="258"/>
      <c r="AG449" s="258"/>
      <c r="AH449" s="258"/>
      <c r="AI449" s="258"/>
      <c r="AJ449" s="258"/>
      <c r="AK449" s="269"/>
      <c r="AL449" s="258"/>
      <c r="AM449" s="270"/>
      <c r="AN449" s="271"/>
      <c r="AO449" s="258"/>
      <c r="AP449" s="259"/>
      <c r="AQ449" s="258"/>
      <c r="AR449" s="258"/>
      <c r="AS449" s="258"/>
      <c r="AT449" s="269"/>
      <c r="AU449" s="258"/>
      <c r="AV449" s="258"/>
      <c r="AW449" s="258"/>
      <c r="AX449" s="260"/>
      <c r="AY449" s="260"/>
      <c r="AZ449" s="259"/>
      <c r="BA449" s="259"/>
      <c r="BB449" s="259"/>
      <c r="BC449" s="259"/>
      <c r="BD449" s="259"/>
      <c r="BE449" s="258"/>
      <c r="BF449" s="258"/>
      <c r="BG449" s="258"/>
      <c r="BH449" s="258"/>
      <c r="BI449" s="258"/>
      <c r="BJ449" s="258"/>
      <c r="BK449" s="258"/>
      <c r="BL449" s="272"/>
      <c r="BM449" s="272"/>
      <c r="BN449" s="273"/>
      <c r="BO449" s="270"/>
      <c r="BP449" s="270"/>
      <c r="BQ449" s="270"/>
      <c r="BR449" s="270"/>
      <c r="BS449" s="270"/>
      <c r="BT449" s="273"/>
      <c r="BU449" s="258"/>
      <c r="BV449" s="269"/>
      <c r="BY449" s="261"/>
      <c r="BZ449" s="261"/>
      <c r="CD449" s="270"/>
    </row>
    <row r="450" spans="1:82" s="265" customFormat="1" x14ac:dyDescent="0.3">
      <c r="A450" s="262"/>
      <c r="B450" s="262"/>
      <c r="C450" s="262"/>
      <c r="D450" s="263"/>
      <c r="E450" s="264"/>
      <c r="F450" s="262"/>
      <c r="J450" s="277"/>
      <c r="U450" s="267"/>
      <c r="W450" s="268"/>
      <c r="Y450" s="268"/>
      <c r="Z450" s="258"/>
      <c r="AA450" s="258"/>
      <c r="AB450" s="258"/>
      <c r="AC450" s="258"/>
      <c r="AD450" s="258"/>
      <c r="AE450" s="258"/>
      <c r="AF450" s="258"/>
      <c r="AG450" s="258"/>
      <c r="AH450" s="258"/>
      <c r="AI450" s="258"/>
      <c r="AJ450" s="258"/>
      <c r="AK450" s="269"/>
      <c r="AL450" s="258"/>
      <c r="AM450" s="270"/>
      <c r="AN450" s="271"/>
      <c r="AO450" s="258"/>
      <c r="AP450" s="259"/>
      <c r="AQ450" s="258"/>
      <c r="AR450" s="258"/>
      <c r="AS450" s="258"/>
      <c r="AT450" s="269"/>
      <c r="AU450" s="258"/>
      <c r="AV450" s="258"/>
      <c r="AW450" s="258"/>
      <c r="AX450" s="260"/>
      <c r="AY450" s="260"/>
      <c r="AZ450" s="259"/>
      <c r="BA450" s="259"/>
      <c r="BB450" s="259"/>
      <c r="BC450" s="259"/>
      <c r="BD450" s="259"/>
      <c r="BE450" s="258"/>
      <c r="BF450" s="258"/>
      <c r="BG450" s="258"/>
      <c r="BH450" s="258"/>
      <c r="BI450" s="258"/>
      <c r="BJ450" s="258"/>
      <c r="BK450" s="258"/>
      <c r="BL450" s="272"/>
      <c r="BM450" s="272"/>
      <c r="BN450" s="273"/>
      <c r="BO450" s="270"/>
      <c r="BP450" s="270"/>
      <c r="BQ450" s="270"/>
      <c r="BR450" s="270"/>
      <c r="BS450" s="270"/>
      <c r="BT450" s="273"/>
      <c r="BU450" s="258"/>
      <c r="BV450" s="269"/>
      <c r="BY450" s="261"/>
      <c r="BZ450" s="261"/>
      <c r="CD450" s="270"/>
    </row>
    <row r="451" spans="1:82" s="265" customFormat="1" x14ac:dyDescent="0.3">
      <c r="A451" s="262"/>
      <c r="B451" s="262"/>
      <c r="C451" s="262"/>
      <c r="D451" s="263"/>
      <c r="E451" s="264"/>
      <c r="F451" s="262"/>
      <c r="J451" s="266"/>
      <c r="U451" s="267"/>
      <c r="W451" s="268"/>
      <c r="Y451" s="268"/>
      <c r="Z451" s="258"/>
      <c r="AA451" s="258"/>
      <c r="AB451" s="258"/>
      <c r="AC451" s="258"/>
      <c r="AD451" s="258"/>
      <c r="AE451" s="258"/>
      <c r="AF451" s="258"/>
      <c r="AG451" s="258"/>
      <c r="AH451" s="258"/>
      <c r="AI451" s="258"/>
      <c r="AJ451" s="258"/>
      <c r="AK451" s="269"/>
      <c r="AL451" s="258"/>
      <c r="AM451" s="270"/>
      <c r="AN451" s="271"/>
      <c r="AO451" s="258"/>
      <c r="AP451" s="259"/>
      <c r="AQ451" s="258"/>
      <c r="AR451" s="258"/>
      <c r="AS451" s="258"/>
      <c r="AT451" s="269"/>
      <c r="AU451" s="258"/>
      <c r="AV451" s="258"/>
      <c r="AW451" s="258"/>
      <c r="AX451" s="260"/>
      <c r="AY451" s="260"/>
      <c r="AZ451" s="259"/>
      <c r="BA451" s="259"/>
      <c r="BB451" s="259"/>
      <c r="BC451" s="259"/>
      <c r="BD451" s="259"/>
      <c r="BE451" s="258"/>
      <c r="BF451" s="258"/>
      <c r="BG451" s="258"/>
      <c r="BH451" s="258"/>
      <c r="BI451" s="258"/>
      <c r="BJ451" s="258"/>
      <c r="BK451" s="258"/>
      <c r="BL451" s="272"/>
      <c r="BM451" s="272"/>
      <c r="BN451" s="273"/>
      <c r="BO451" s="270"/>
      <c r="BP451" s="270"/>
      <c r="BQ451" s="270"/>
      <c r="BR451" s="270"/>
      <c r="BS451" s="270"/>
      <c r="BT451" s="273"/>
      <c r="BU451" s="258"/>
      <c r="BV451" s="269"/>
      <c r="BY451" s="261"/>
      <c r="BZ451" s="261"/>
      <c r="CD451" s="270"/>
    </row>
    <row r="452" spans="1:82" s="265" customFormat="1" x14ac:dyDescent="0.3">
      <c r="A452" s="262"/>
      <c r="B452" s="262"/>
      <c r="C452" s="262"/>
      <c r="D452" s="263"/>
      <c r="E452" s="264"/>
      <c r="F452" s="262"/>
      <c r="J452" s="277"/>
      <c r="U452" s="267"/>
      <c r="W452" s="268"/>
      <c r="Y452" s="268"/>
      <c r="Z452" s="258"/>
      <c r="AA452" s="258"/>
      <c r="AB452" s="258"/>
      <c r="AC452" s="258"/>
      <c r="AD452" s="258"/>
      <c r="AE452" s="258"/>
      <c r="AF452" s="258"/>
      <c r="AG452" s="258"/>
      <c r="AH452" s="258"/>
      <c r="AI452" s="258"/>
      <c r="AJ452" s="258"/>
      <c r="AK452" s="269"/>
      <c r="AL452" s="258"/>
      <c r="AM452" s="270"/>
      <c r="AN452" s="271"/>
      <c r="AO452" s="258"/>
      <c r="AP452" s="259"/>
      <c r="AQ452" s="258"/>
      <c r="AR452" s="258"/>
      <c r="AS452" s="258"/>
      <c r="AT452" s="269"/>
      <c r="AU452" s="258"/>
      <c r="AV452" s="258"/>
      <c r="AW452" s="258"/>
      <c r="AX452" s="260"/>
      <c r="AY452" s="260"/>
      <c r="AZ452" s="259"/>
      <c r="BA452" s="259"/>
      <c r="BB452" s="259"/>
      <c r="BC452" s="259"/>
      <c r="BD452" s="259"/>
      <c r="BE452" s="258"/>
      <c r="BF452" s="258"/>
      <c r="BG452" s="258"/>
      <c r="BH452" s="258"/>
      <c r="BI452" s="258"/>
      <c r="BJ452" s="258"/>
      <c r="BK452" s="258"/>
      <c r="BL452" s="272"/>
      <c r="BM452" s="272"/>
      <c r="BN452" s="273"/>
      <c r="BO452" s="270"/>
      <c r="BP452" s="270"/>
      <c r="BQ452" s="270"/>
      <c r="BR452" s="270"/>
      <c r="BS452" s="270"/>
      <c r="BT452" s="273"/>
      <c r="BU452" s="258"/>
      <c r="BV452" s="269"/>
      <c r="BY452" s="261"/>
      <c r="BZ452" s="261"/>
      <c r="CD452" s="270"/>
    </row>
    <row r="453" spans="1:82" s="265" customFormat="1" x14ac:dyDescent="0.3">
      <c r="A453" s="262"/>
      <c r="B453" s="262"/>
      <c r="C453" s="262"/>
      <c r="D453" s="263"/>
      <c r="E453" s="264"/>
      <c r="F453" s="262"/>
      <c r="J453" s="277"/>
      <c r="U453" s="267"/>
      <c r="W453" s="268"/>
      <c r="Y453" s="268"/>
      <c r="Z453" s="258"/>
      <c r="AA453" s="258"/>
      <c r="AB453" s="258"/>
      <c r="AC453" s="258"/>
      <c r="AD453" s="258"/>
      <c r="AE453" s="258"/>
      <c r="AF453" s="258"/>
      <c r="AG453" s="258"/>
      <c r="AH453" s="258"/>
      <c r="AI453" s="258"/>
      <c r="AJ453" s="258"/>
      <c r="AK453" s="269"/>
      <c r="AL453" s="258"/>
      <c r="AM453" s="270"/>
      <c r="AN453" s="271"/>
      <c r="AO453" s="258"/>
      <c r="AP453" s="259"/>
      <c r="AQ453" s="258"/>
      <c r="AR453" s="258"/>
      <c r="AS453" s="258"/>
      <c r="AT453" s="269"/>
      <c r="AU453" s="258"/>
      <c r="AV453" s="258"/>
      <c r="AW453" s="258"/>
      <c r="AX453" s="260"/>
      <c r="AY453" s="260"/>
      <c r="AZ453" s="259"/>
      <c r="BA453" s="259"/>
      <c r="BB453" s="259"/>
      <c r="BC453" s="259"/>
      <c r="BD453" s="259"/>
      <c r="BE453" s="258"/>
      <c r="BF453" s="258"/>
      <c r="BG453" s="258"/>
      <c r="BH453" s="258"/>
      <c r="BI453" s="258"/>
      <c r="BJ453" s="258"/>
      <c r="BK453" s="258"/>
      <c r="BL453" s="272"/>
      <c r="BM453" s="272"/>
      <c r="BN453" s="273"/>
      <c r="BO453" s="270"/>
      <c r="BP453" s="270"/>
      <c r="BQ453" s="270"/>
      <c r="BR453" s="270"/>
      <c r="BS453" s="270"/>
      <c r="BT453" s="273"/>
      <c r="BU453" s="258"/>
      <c r="BV453" s="269"/>
      <c r="BY453" s="261"/>
      <c r="BZ453" s="261"/>
      <c r="CD453" s="270"/>
    </row>
    <row r="454" spans="1:82" s="265" customFormat="1" x14ac:dyDescent="0.3">
      <c r="A454" s="262"/>
      <c r="B454" s="262"/>
      <c r="C454" s="262"/>
      <c r="D454" s="263"/>
      <c r="E454" s="264"/>
      <c r="F454" s="262"/>
      <c r="J454" s="277"/>
      <c r="U454" s="267"/>
      <c r="W454" s="268"/>
      <c r="Y454" s="268"/>
      <c r="Z454" s="258"/>
      <c r="AA454" s="258"/>
      <c r="AB454" s="258"/>
      <c r="AC454" s="258"/>
      <c r="AD454" s="258"/>
      <c r="AE454" s="258"/>
      <c r="AF454" s="258"/>
      <c r="AG454" s="258"/>
      <c r="AH454" s="258"/>
      <c r="AI454" s="258"/>
      <c r="AJ454" s="258"/>
      <c r="AK454" s="269"/>
      <c r="AL454" s="258"/>
      <c r="AM454" s="270"/>
      <c r="AN454" s="271"/>
      <c r="AO454" s="258"/>
      <c r="AP454" s="259"/>
      <c r="AQ454" s="258"/>
      <c r="AR454" s="258"/>
      <c r="AS454" s="258"/>
      <c r="AT454" s="269"/>
      <c r="AU454" s="258"/>
      <c r="AV454" s="258"/>
      <c r="AW454" s="258"/>
      <c r="AX454" s="260"/>
      <c r="AY454" s="260"/>
      <c r="AZ454" s="259"/>
      <c r="BA454" s="259"/>
      <c r="BB454" s="259"/>
      <c r="BC454" s="259"/>
      <c r="BD454" s="259"/>
      <c r="BE454" s="258"/>
      <c r="BF454" s="258"/>
      <c r="BG454" s="258"/>
      <c r="BH454" s="258"/>
      <c r="BI454" s="258"/>
      <c r="BJ454" s="258"/>
      <c r="BK454" s="258"/>
      <c r="BL454" s="272"/>
      <c r="BM454" s="272"/>
      <c r="BN454" s="273"/>
      <c r="BO454" s="270"/>
      <c r="BP454" s="270"/>
      <c r="BQ454" s="270"/>
      <c r="BR454" s="270"/>
      <c r="BS454" s="270"/>
      <c r="BT454" s="273"/>
      <c r="BU454" s="258"/>
      <c r="BV454" s="269"/>
      <c r="BY454" s="261"/>
      <c r="BZ454" s="261"/>
      <c r="CD454" s="270"/>
    </row>
    <row r="455" spans="1:82" s="265" customFormat="1" x14ac:dyDescent="0.3">
      <c r="A455" s="262"/>
      <c r="B455" s="262"/>
      <c r="C455" s="262"/>
      <c r="D455" s="263"/>
      <c r="E455" s="264"/>
      <c r="F455" s="262"/>
      <c r="J455" s="247"/>
      <c r="U455" s="267"/>
      <c r="W455" s="268"/>
      <c r="Y455" s="268"/>
      <c r="Z455" s="258"/>
      <c r="AA455" s="258"/>
      <c r="AB455" s="258"/>
      <c r="AC455" s="258"/>
      <c r="AD455" s="258"/>
      <c r="AE455" s="258"/>
      <c r="AF455" s="258"/>
      <c r="AG455" s="258"/>
      <c r="AH455" s="258"/>
      <c r="AI455" s="258"/>
      <c r="AJ455" s="258"/>
      <c r="AK455" s="269"/>
      <c r="AL455" s="258"/>
      <c r="AM455" s="270"/>
      <c r="AN455" s="271"/>
      <c r="AO455" s="258"/>
      <c r="AP455" s="259"/>
      <c r="AQ455" s="258"/>
      <c r="AR455" s="258"/>
      <c r="AS455" s="258"/>
      <c r="AT455" s="269"/>
      <c r="AU455" s="258"/>
      <c r="AV455" s="258"/>
      <c r="AW455" s="258"/>
      <c r="AX455" s="260"/>
      <c r="AY455" s="260"/>
      <c r="AZ455" s="259"/>
      <c r="BA455" s="259"/>
      <c r="BB455" s="259"/>
      <c r="BC455" s="259"/>
      <c r="BD455" s="259"/>
      <c r="BE455" s="258"/>
      <c r="BF455" s="258"/>
      <c r="BG455" s="258"/>
      <c r="BH455" s="258"/>
      <c r="BI455" s="258"/>
      <c r="BJ455" s="258"/>
      <c r="BK455" s="258"/>
      <c r="BL455" s="272"/>
      <c r="BM455" s="272"/>
      <c r="BN455" s="273"/>
      <c r="BO455" s="270"/>
      <c r="BP455" s="270"/>
      <c r="BQ455" s="270"/>
      <c r="BR455" s="270"/>
      <c r="BS455" s="270"/>
      <c r="BT455" s="273"/>
      <c r="BU455" s="258"/>
      <c r="BV455" s="269"/>
      <c r="BY455" s="261"/>
      <c r="BZ455" s="261"/>
      <c r="CD455" s="270"/>
    </row>
    <row r="456" spans="1:82" s="265" customFormat="1" x14ac:dyDescent="0.3">
      <c r="A456" s="262"/>
      <c r="B456" s="262"/>
      <c r="C456" s="262"/>
      <c r="D456" s="263"/>
      <c r="E456" s="264"/>
      <c r="F456" s="262"/>
      <c r="J456" s="256"/>
      <c r="U456" s="267"/>
      <c r="W456" s="268"/>
      <c r="Y456" s="268"/>
      <c r="Z456" s="258"/>
      <c r="AA456" s="258"/>
      <c r="AB456" s="258"/>
      <c r="AC456" s="258"/>
      <c r="AD456" s="258"/>
      <c r="AE456" s="258"/>
      <c r="AF456" s="258"/>
      <c r="AG456" s="258"/>
      <c r="AH456" s="258"/>
      <c r="AI456" s="258"/>
      <c r="AJ456" s="258"/>
      <c r="AK456" s="269"/>
      <c r="AL456" s="258"/>
      <c r="AM456" s="270"/>
      <c r="AN456" s="271"/>
      <c r="AO456" s="258"/>
      <c r="AP456" s="259"/>
      <c r="AQ456" s="258"/>
      <c r="AR456" s="258"/>
      <c r="AS456" s="258"/>
      <c r="AT456" s="269"/>
      <c r="AU456" s="258"/>
      <c r="AV456" s="258"/>
      <c r="AW456" s="258"/>
      <c r="AX456" s="260"/>
      <c r="AY456" s="260"/>
      <c r="AZ456" s="259"/>
      <c r="BA456" s="259"/>
      <c r="BB456" s="259"/>
      <c r="BC456" s="259"/>
      <c r="BD456" s="259"/>
      <c r="BE456" s="258"/>
      <c r="BF456" s="258"/>
      <c r="BG456" s="258"/>
      <c r="BH456" s="258"/>
      <c r="BI456" s="258"/>
      <c r="BJ456" s="258"/>
      <c r="BK456" s="258"/>
      <c r="BL456" s="272"/>
      <c r="BM456" s="272"/>
      <c r="BN456" s="273"/>
      <c r="BO456" s="270"/>
      <c r="BP456" s="270"/>
      <c r="BQ456" s="270"/>
      <c r="BR456" s="270"/>
      <c r="BS456" s="270"/>
      <c r="BT456" s="273"/>
      <c r="BU456" s="258"/>
      <c r="BV456" s="269"/>
      <c r="BY456" s="261"/>
      <c r="BZ456" s="261"/>
      <c r="CD456" s="270"/>
    </row>
    <row r="457" spans="1:82" s="265" customFormat="1" x14ac:dyDescent="0.3">
      <c r="A457" s="262"/>
      <c r="B457" s="262"/>
      <c r="C457" s="262"/>
      <c r="D457" s="263"/>
      <c r="E457" s="264"/>
      <c r="F457" s="262"/>
      <c r="J457" s="238"/>
      <c r="U457" s="267"/>
      <c r="W457" s="268"/>
      <c r="Y457" s="268"/>
      <c r="Z457" s="258"/>
      <c r="AA457" s="258"/>
      <c r="AB457" s="258"/>
      <c r="AC457" s="258"/>
      <c r="AD457" s="258"/>
      <c r="AE457" s="258"/>
      <c r="AF457" s="258"/>
      <c r="AG457" s="258"/>
      <c r="AH457" s="258"/>
      <c r="AI457" s="258"/>
      <c r="AJ457" s="258"/>
      <c r="AK457" s="269"/>
      <c r="AL457" s="258"/>
      <c r="AM457" s="270"/>
      <c r="AN457" s="271"/>
      <c r="AO457" s="258"/>
      <c r="AP457" s="259"/>
      <c r="AQ457" s="258"/>
      <c r="AR457" s="258"/>
      <c r="AS457" s="258"/>
      <c r="AT457" s="269"/>
      <c r="AU457" s="258"/>
      <c r="AV457" s="258"/>
      <c r="AW457" s="258"/>
      <c r="AX457" s="260"/>
      <c r="AY457" s="260"/>
      <c r="AZ457" s="259"/>
      <c r="BA457" s="259"/>
      <c r="BB457" s="259"/>
      <c r="BC457" s="259"/>
      <c r="BD457" s="259"/>
      <c r="BE457" s="258"/>
      <c r="BF457" s="258"/>
      <c r="BG457" s="258"/>
      <c r="BH457" s="258"/>
      <c r="BI457" s="258"/>
      <c r="BJ457" s="258"/>
      <c r="BK457" s="258"/>
      <c r="BL457" s="272"/>
      <c r="BM457" s="272"/>
      <c r="BN457" s="273"/>
      <c r="BO457" s="270"/>
      <c r="BP457" s="270"/>
      <c r="BQ457" s="270"/>
      <c r="BR457" s="270"/>
      <c r="BS457" s="270"/>
      <c r="BT457" s="273"/>
      <c r="BU457" s="258"/>
      <c r="BV457" s="269"/>
      <c r="BY457" s="261"/>
      <c r="BZ457" s="261"/>
      <c r="CD457" s="270"/>
    </row>
    <row r="458" spans="1:82" s="265" customFormat="1" x14ac:dyDescent="0.3">
      <c r="A458" s="262"/>
      <c r="B458" s="262"/>
      <c r="C458" s="262"/>
      <c r="D458" s="263"/>
      <c r="E458" s="264"/>
      <c r="F458" s="262"/>
      <c r="J458" s="277"/>
      <c r="U458" s="267"/>
      <c r="W458" s="268"/>
      <c r="Y458" s="268"/>
      <c r="Z458" s="258"/>
      <c r="AA458" s="258"/>
      <c r="AB458" s="258"/>
      <c r="AC458" s="258"/>
      <c r="AD458" s="258"/>
      <c r="AE458" s="258"/>
      <c r="AF458" s="258"/>
      <c r="AG458" s="258"/>
      <c r="AH458" s="258"/>
      <c r="AI458" s="258"/>
      <c r="AJ458" s="258"/>
      <c r="AK458" s="269"/>
      <c r="AL458" s="258"/>
      <c r="AM458" s="270"/>
      <c r="AN458" s="271"/>
      <c r="AO458" s="258"/>
      <c r="AP458" s="259"/>
      <c r="AQ458" s="258"/>
      <c r="AR458" s="258"/>
      <c r="AS458" s="258"/>
      <c r="AT458" s="269"/>
      <c r="AU458" s="258"/>
      <c r="AV458" s="258"/>
      <c r="AW458" s="258"/>
      <c r="AX458" s="260"/>
      <c r="AY458" s="260"/>
      <c r="AZ458" s="259"/>
      <c r="BA458" s="259"/>
      <c r="BB458" s="259"/>
      <c r="BC458" s="259"/>
      <c r="BD458" s="259"/>
      <c r="BE458" s="258"/>
      <c r="BF458" s="258"/>
      <c r="BG458" s="258"/>
      <c r="BH458" s="258"/>
      <c r="BI458" s="258"/>
      <c r="BJ458" s="258"/>
      <c r="BK458" s="258"/>
      <c r="BL458" s="272"/>
      <c r="BM458" s="272"/>
      <c r="BN458" s="273"/>
      <c r="BO458" s="270"/>
      <c r="BP458" s="270"/>
      <c r="BQ458" s="270"/>
      <c r="BR458" s="270"/>
      <c r="BS458" s="270"/>
      <c r="BT458" s="273"/>
      <c r="BU458" s="258"/>
      <c r="BV458" s="269"/>
      <c r="BY458" s="261"/>
      <c r="BZ458" s="261"/>
      <c r="CD458" s="270"/>
    </row>
    <row r="459" spans="1:82" s="265" customFormat="1" x14ac:dyDescent="0.3">
      <c r="A459" s="262"/>
      <c r="B459" s="262"/>
      <c r="C459" s="262"/>
      <c r="D459" s="263"/>
      <c r="E459" s="264"/>
      <c r="F459" s="262"/>
      <c r="J459" s="238"/>
      <c r="U459" s="267"/>
      <c r="W459" s="268"/>
      <c r="Y459" s="268"/>
      <c r="Z459" s="258"/>
      <c r="AA459" s="258"/>
      <c r="AB459" s="258"/>
      <c r="AC459" s="258"/>
      <c r="AD459" s="258"/>
      <c r="AE459" s="258"/>
      <c r="AF459" s="258"/>
      <c r="AG459" s="258"/>
      <c r="AH459" s="258"/>
      <c r="AI459" s="258"/>
      <c r="AJ459" s="258"/>
      <c r="AK459" s="269"/>
      <c r="AL459" s="258"/>
      <c r="AM459" s="270"/>
      <c r="AN459" s="271"/>
      <c r="AO459" s="258"/>
      <c r="AP459" s="259"/>
      <c r="AQ459" s="258"/>
      <c r="AR459" s="258"/>
      <c r="AS459" s="258"/>
      <c r="AT459" s="269"/>
      <c r="AU459" s="258"/>
      <c r="AV459" s="258"/>
      <c r="AW459" s="258"/>
      <c r="AX459" s="260"/>
      <c r="AY459" s="260"/>
      <c r="AZ459" s="259"/>
      <c r="BA459" s="259"/>
      <c r="BB459" s="259"/>
      <c r="BC459" s="259"/>
      <c r="BD459" s="259"/>
      <c r="BE459" s="258"/>
      <c r="BF459" s="258"/>
      <c r="BG459" s="258"/>
      <c r="BH459" s="258"/>
      <c r="BI459" s="258"/>
      <c r="BJ459" s="258"/>
      <c r="BK459" s="258"/>
      <c r="BL459" s="272"/>
      <c r="BM459" s="272"/>
      <c r="BN459" s="273"/>
      <c r="BO459" s="270"/>
      <c r="BP459" s="270"/>
      <c r="BQ459" s="270"/>
      <c r="BR459" s="270"/>
      <c r="BS459" s="270"/>
      <c r="BT459" s="273"/>
      <c r="BU459" s="258"/>
      <c r="BV459" s="269"/>
      <c r="BY459" s="261"/>
      <c r="BZ459" s="261"/>
      <c r="CD459" s="270"/>
    </row>
    <row r="460" spans="1:82" s="265" customFormat="1" x14ac:dyDescent="0.3">
      <c r="A460" s="262"/>
      <c r="B460" s="262"/>
      <c r="C460" s="262"/>
      <c r="D460" s="263"/>
      <c r="E460" s="264"/>
      <c r="F460" s="262"/>
      <c r="J460" s="266"/>
      <c r="U460" s="267"/>
      <c r="W460" s="268"/>
      <c r="Y460" s="268"/>
      <c r="Z460" s="258"/>
      <c r="AA460" s="258"/>
      <c r="AB460" s="258"/>
      <c r="AC460" s="258"/>
      <c r="AD460" s="258"/>
      <c r="AE460" s="258"/>
      <c r="AF460" s="258"/>
      <c r="AG460" s="258"/>
      <c r="AH460" s="258"/>
      <c r="AI460" s="258"/>
      <c r="AJ460" s="258"/>
      <c r="AK460" s="269"/>
      <c r="AL460" s="258"/>
      <c r="AM460" s="270"/>
      <c r="AN460" s="271"/>
      <c r="AO460" s="258"/>
      <c r="AP460" s="259"/>
      <c r="AQ460" s="258"/>
      <c r="AR460" s="258"/>
      <c r="AS460" s="258"/>
      <c r="AT460" s="269"/>
      <c r="AU460" s="258"/>
      <c r="AV460" s="258"/>
      <c r="AW460" s="258"/>
      <c r="AX460" s="260"/>
      <c r="AY460" s="260"/>
      <c r="AZ460" s="259"/>
      <c r="BA460" s="259"/>
      <c r="BB460" s="259"/>
      <c r="BC460" s="259"/>
      <c r="BD460" s="259"/>
      <c r="BE460" s="258"/>
      <c r="BF460" s="258"/>
      <c r="BG460" s="258"/>
      <c r="BH460" s="258"/>
      <c r="BI460" s="258"/>
      <c r="BJ460" s="258"/>
      <c r="BK460" s="258"/>
      <c r="BL460" s="272"/>
      <c r="BM460" s="272"/>
      <c r="BN460" s="273"/>
      <c r="BO460" s="270"/>
      <c r="BP460" s="270"/>
      <c r="BQ460" s="270"/>
      <c r="BR460" s="270"/>
      <c r="BS460" s="270"/>
      <c r="BT460" s="273"/>
      <c r="BU460" s="258"/>
      <c r="BV460" s="269"/>
      <c r="BY460" s="261"/>
      <c r="BZ460" s="261"/>
      <c r="CD460" s="270"/>
    </row>
    <row r="461" spans="1:82" s="265" customFormat="1" x14ac:dyDescent="0.3">
      <c r="A461" s="262"/>
      <c r="B461" s="262"/>
      <c r="C461" s="262"/>
      <c r="D461" s="263"/>
      <c r="E461" s="264"/>
      <c r="F461" s="262"/>
      <c r="J461" s="238"/>
      <c r="U461" s="267"/>
      <c r="W461" s="268"/>
      <c r="Y461" s="268"/>
      <c r="Z461" s="258"/>
      <c r="AA461" s="258"/>
      <c r="AB461" s="258"/>
      <c r="AC461" s="258"/>
      <c r="AD461" s="258"/>
      <c r="AE461" s="258"/>
      <c r="AF461" s="258"/>
      <c r="AG461" s="258"/>
      <c r="AH461" s="258"/>
      <c r="AI461" s="258"/>
      <c r="AJ461" s="258"/>
      <c r="AK461" s="269"/>
      <c r="AL461" s="258"/>
      <c r="AM461" s="270"/>
      <c r="AN461" s="271"/>
      <c r="AO461" s="258"/>
      <c r="AP461" s="259"/>
      <c r="AQ461" s="258"/>
      <c r="AR461" s="258"/>
      <c r="AS461" s="258"/>
      <c r="AT461" s="269"/>
      <c r="AU461" s="258"/>
      <c r="AV461" s="258"/>
      <c r="AW461" s="258"/>
      <c r="AX461" s="260"/>
      <c r="AY461" s="260"/>
      <c r="AZ461" s="259"/>
      <c r="BA461" s="259"/>
      <c r="BB461" s="259"/>
      <c r="BC461" s="259"/>
      <c r="BD461" s="259"/>
      <c r="BE461" s="258"/>
      <c r="BF461" s="258"/>
      <c r="BG461" s="258"/>
      <c r="BH461" s="258"/>
      <c r="BI461" s="258"/>
      <c r="BJ461" s="258"/>
      <c r="BK461" s="258"/>
      <c r="BL461" s="272"/>
      <c r="BM461" s="272"/>
      <c r="BN461" s="273"/>
      <c r="BO461" s="270"/>
      <c r="BP461" s="270"/>
      <c r="BQ461" s="270"/>
      <c r="BR461" s="270"/>
      <c r="BS461" s="270"/>
      <c r="BT461" s="273"/>
      <c r="BU461" s="258"/>
      <c r="BV461" s="269"/>
      <c r="BY461" s="261"/>
      <c r="BZ461" s="261"/>
      <c r="CD461" s="270"/>
    </row>
    <row r="462" spans="1:82" s="265" customFormat="1" x14ac:dyDescent="0.3">
      <c r="A462" s="262"/>
      <c r="B462" s="262"/>
      <c r="C462" s="262"/>
      <c r="D462" s="263"/>
      <c r="E462" s="264"/>
      <c r="F462" s="262"/>
      <c r="J462" s="266"/>
      <c r="U462" s="267"/>
      <c r="W462" s="268"/>
      <c r="Y462" s="268"/>
      <c r="Z462" s="258"/>
      <c r="AA462" s="258"/>
      <c r="AB462" s="258"/>
      <c r="AC462" s="258"/>
      <c r="AD462" s="258"/>
      <c r="AE462" s="258"/>
      <c r="AF462" s="258"/>
      <c r="AG462" s="258"/>
      <c r="AH462" s="258"/>
      <c r="AI462" s="258"/>
      <c r="AJ462" s="258"/>
      <c r="AK462" s="269"/>
      <c r="AL462" s="258"/>
      <c r="AM462" s="270"/>
      <c r="AN462" s="271"/>
      <c r="AO462" s="258"/>
      <c r="AP462" s="259"/>
      <c r="AQ462" s="258"/>
      <c r="AR462" s="258"/>
      <c r="AS462" s="258"/>
      <c r="AT462" s="269"/>
      <c r="AU462" s="258"/>
      <c r="AV462" s="258"/>
      <c r="AW462" s="258"/>
      <c r="AX462" s="260"/>
      <c r="AY462" s="260"/>
      <c r="AZ462" s="259"/>
      <c r="BA462" s="259"/>
      <c r="BB462" s="259"/>
      <c r="BC462" s="259"/>
      <c r="BD462" s="259"/>
      <c r="BE462" s="258"/>
      <c r="BF462" s="258"/>
      <c r="BG462" s="258"/>
      <c r="BH462" s="258"/>
      <c r="BI462" s="258"/>
      <c r="BJ462" s="258"/>
      <c r="BK462" s="258"/>
      <c r="BL462" s="272"/>
      <c r="BM462" s="272"/>
      <c r="BN462" s="273"/>
      <c r="BO462" s="270"/>
      <c r="BP462" s="270"/>
      <c r="BQ462" s="270"/>
      <c r="BR462" s="270"/>
      <c r="BS462" s="270"/>
      <c r="BT462" s="273"/>
      <c r="BU462" s="258"/>
      <c r="BV462" s="269"/>
      <c r="BY462" s="261"/>
      <c r="BZ462" s="261"/>
      <c r="CD462" s="270"/>
    </row>
    <row r="463" spans="1:82" s="265" customFormat="1" x14ac:dyDescent="0.3">
      <c r="A463" s="262"/>
      <c r="B463" s="262"/>
      <c r="C463" s="262"/>
      <c r="D463" s="263"/>
      <c r="E463" s="264"/>
      <c r="F463" s="262"/>
      <c r="J463" s="277"/>
      <c r="U463" s="267"/>
      <c r="W463" s="268"/>
      <c r="Y463" s="268"/>
      <c r="Z463" s="258"/>
      <c r="AA463" s="258"/>
      <c r="AB463" s="258"/>
      <c r="AC463" s="258"/>
      <c r="AD463" s="258"/>
      <c r="AE463" s="258"/>
      <c r="AF463" s="258"/>
      <c r="AG463" s="258"/>
      <c r="AH463" s="258"/>
      <c r="AI463" s="258"/>
      <c r="AJ463" s="258"/>
      <c r="AK463" s="269"/>
      <c r="AL463" s="258"/>
      <c r="AM463" s="270"/>
      <c r="AN463" s="271"/>
      <c r="AO463" s="258"/>
      <c r="AP463" s="259"/>
      <c r="AQ463" s="258"/>
      <c r="AR463" s="258"/>
      <c r="AS463" s="258"/>
      <c r="AT463" s="269"/>
      <c r="AU463" s="258"/>
      <c r="AV463" s="258"/>
      <c r="AW463" s="258"/>
      <c r="AX463" s="260"/>
      <c r="AY463" s="260"/>
      <c r="AZ463" s="259"/>
      <c r="BA463" s="259"/>
      <c r="BB463" s="259"/>
      <c r="BC463" s="259"/>
      <c r="BD463" s="259"/>
      <c r="BE463" s="258"/>
      <c r="BF463" s="258"/>
      <c r="BG463" s="258"/>
      <c r="BH463" s="258"/>
      <c r="BI463" s="258"/>
      <c r="BJ463" s="258"/>
      <c r="BK463" s="258"/>
      <c r="BL463" s="272"/>
      <c r="BM463" s="272"/>
      <c r="BN463" s="273"/>
      <c r="BO463" s="270"/>
      <c r="BP463" s="270"/>
      <c r="BQ463" s="270"/>
      <c r="BR463" s="270"/>
      <c r="BS463" s="270"/>
      <c r="BT463" s="273"/>
      <c r="BU463" s="258"/>
      <c r="BV463" s="269"/>
      <c r="BY463" s="261"/>
      <c r="BZ463" s="261"/>
      <c r="CD463" s="270"/>
    </row>
    <row r="464" spans="1:82" s="265" customFormat="1" x14ac:dyDescent="0.3">
      <c r="A464" s="262"/>
      <c r="B464" s="262"/>
      <c r="C464" s="262"/>
      <c r="D464" s="263"/>
      <c r="E464" s="264"/>
      <c r="F464" s="262"/>
      <c r="J464" s="256"/>
      <c r="U464" s="267"/>
      <c r="W464" s="268"/>
      <c r="Y464" s="268"/>
      <c r="Z464" s="258"/>
      <c r="AA464" s="258"/>
      <c r="AB464" s="258"/>
      <c r="AC464" s="258"/>
      <c r="AD464" s="258"/>
      <c r="AE464" s="258"/>
      <c r="AF464" s="258"/>
      <c r="AG464" s="258"/>
      <c r="AH464" s="258"/>
      <c r="AI464" s="258"/>
      <c r="AJ464" s="258"/>
      <c r="AK464" s="269"/>
      <c r="AL464" s="258"/>
      <c r="AM464" s="270"/>
      <c r="AN464" s="271"/>
      <c r="AO464" s="258"/>
      <c r="AP464" s="259"/>
      <c r="AQ464" s="258"/>
      <c r="AR464" s="258"/>
      <c r="AS464" s="258"/>
      <c r="AT464" s="269"/>
      <c r="AU464" s="258"/>
      <c r="AV464" s="258"/>
      <c r="AW464" s="258"/>
      <c r="AX464" s="260"/>
      <c r="AY464" s="260"/>
      <c r="AZ464" s="259"/>
      <c r="BA464" s="259"/>
      <c r="BB464" s="259"/>
      <c r="BC464" s="259"/>
      <c r="BD464" s="259"/>
      <c r="BE464" s="258"/>
      <c r="BF464" s="258"/>
      <c r="BG464" s="258"/>
      <c r="BH464" s="258"/>
      <c r="BI464" s="258"/>
      <c r="BJ464" s="258"/>
      <c r="BK464" s="258"/>
      <c r="BL464" s="272"/>
      <c r="BM464" s="272"/>
      <c r="BN464" s="273"/>
      <c r="BO464" s="270"/>
      <c r="BP464" s="270"/>
      <c r="BQ464" s="270"/>
      <c r="BR464" s="270"/>
      <c r="BS464" s="270"/>
      <c r="BT464" s="273"/>
      <c r="BU464" s="258"/>
      <c r="BV464" s="269"/>
      <c r="BY464" s="261"/>
      <c r="BZ464" s="261"/>
      <c r="CD464" s="270"/>
    </row>
    <row r="465" spans="1:82" s="265" customFormat="1" x14ac:dyDescent="0.3">
      <c r="A465" s="262"/>
      <c r="B465" s="262"/>
      <c r="C465" s="262"/>
      <c r="D465" s="263"/>
      <c r="E465" s="264"/>
      <c r="F465" s="262"/>
      <c r="J465" s="238"/>
      <c r="U465" s="267"/>
      <c r="W465" s="268"/>
      <c r="Y465" s="268"/>
      <c r="Z465" s="258"/>
      <c r="AA465" s="258"/>
      <c r="AB465" s="258"/>
      <c r="AC465" s="258"/>
      <c r="AD465" s="258"/>
      <c r="AE465" s="258"/>
      <c r="AF465" s="258"/>
      <c r="AG465" s="258"/>
      <c r="AH465" s="258"/>
      <c r="AI465" s="258"/>
      <c r="AJ465" s="258"/>
      <c r="AK465" s="269"/>
      <c r="AL465" s="258"/>
      <c r="AM465" s="270"/>
      <c r="AN465" s="271"/>
      <c r="AO465" s="258"/>
      <c r="AP465" s="259"/>
      <c r="AQ465" s="258"/>
      <c r="AR465" s="258"/>
      <c r="AS465" s="258"/>
      <c r="AT465" s="269"/>
      <c r="AU465" s="258"/>
      <c r="AV465" s="258"/>
      <c r="AW465" s="258"/>
      <c r="AX465" s="260"/>
      <c r="AY465" s="260"/>
      <c r="AZ465" s="259"/>
      <c r="BA465" s="259"/>
      <c r="BB465" s="259"/>
      <c r="BC465" s="259"/>
      <c r="BD465" s="259"/>
      <c r="BE465" s="258"/>
      <c r="BF465" s="258"/>
      <c r="BG465" s="258"/>
      <c r="BH465" s="258"/>
      <c r="BI465" s="258"/>
      <c r="BJ465" s="258"/>
      <c r="BK465" s="258"/>
      <c r="BL465" s="272"/>
      <c r="BM465" s="272"/>
      <c r="BN465" s="273"/>
      <c r="BO465" s="270"/>
      <c r="BP465" s="270"/>
      <c r="BQ465" s="270"/>
      <c r="BR465" s="270"/>
      <c r="BS465" s="270"/>
      <c r="BT465" s="273"/>
      <c r="BU465" s="258"/>
      <c r="BV465" s="269"/>
      <c r="BY465" s="261"/>
      <c r="BZ465" s="261"/>
      <c r="CD465" s="270"/>
    </row>
    <row r="466" spans="1:82" s="265" customFormat="1" x14ac:dyDescent="0.3">
      <c r="A466" s="262"/>
      <c r="B466" s="262"/>
      <c r="C466" s="262"/>
      <c r="D466" s="263"/>
      <c r="E466" s="264"/>
      <c r="F466" s="262"/>
      <c r="J466" s="277"/>
      <c r="U466" s="267"/>
      <c r="W466" s="268"/>
      <c r="Y466" s="268"/>
      <c r="Z466" s="258"/>
      <c r="AA466" s="258"/>
      <c r="AB466" s="258"/>
      <c r="AC466" s="258"/>
      <c r="AD466" s="258"/>
      <c r="AE466" s="258"/>
      <c r="AF466" s="258"/>
      <c r="AG466" s="258"/>
      <c r="AH466" s="258"/>
      <c r="AI466" s="258"/>
      <c r="AJ466" s="258"/>
      <c r="AK466" s="269"/>
      <c r="AL466" s="258"/>
      <c r="AM466" s="270"/>
      <c r="AN466" s="271"/>
      <c r="AO466" s="258"/>
      <c r="AP466" s="259"/>
      <c r="AQ466" s="258"/>
      <c r="AR466" s="258"/>
      <c r="AS466" s="258"/>
      <c r="AT466" s="269"/>
      <c r="AU466" s="258"/>
      <c r="AV466" s="258"/>
      <c r="AW466" s="258"/>
      <c r="AX466" s="260"/>
      <c r="AY466" s="260"/>
      <c r="AZ466" s="259"/>
      <c r="BA466" s="259"/>
      <c r="BB466" s="259"/>
      <c r="BC466" s="259"/>
      <c r="BD466" s="259"/>
      <c r="BE466" s="258"/>
      <c r="BF466" s="258"/>
      <c r="BG466" s="258"/>
      <c r="BH466" s="258"/>
      <c r="BI466" s="258"/>
      <c r="BJ466" s="258"/>
      <c r="BK466" s="258"/>
      <c r="BL466" s="272"/>
      <c r="BM466" s="272"/>
      <c r="BN466" s="273"/>
      <c r="BO466" s="270"/>
      <c r="BP466" s="270"/>
      <c r="BQ466" s="270"/>
      <c r="BR466" s="270"/>
      <c r="BS466" s="270"/>
      <c r="BT466" s="273"/>
      <c r="BU466" s="258"/>
      <c r="BV466" s="269"/>
      <c r="BY466" s="261"/>
      <c r="BZ466" s="261"/>
      <c r="CD466" s="270"/>
    </row>
    <row r="467" spans="1:82" s="265" customFormat="1" x14ac:dyDescent="0.3">
      <c r="A467" s="262"/>
      <c r="B467" s="262"/>
      <c r="C467" s="262"/>
      <c r="D467" s="263"/>
      <c r="E467" s="264"/>
      <c r="F467" s="262"/>
      <c r="J467" s="277"/>
      <c r="U467" s="267"/>
      <c r="W467" s="268"/>
      <c r="Y467" s="268"/>
      <c r="Z467" s="258"/>
      <c r="AA467" s="258"/>
      <c r="AB467" s="258"/>
      <c r="AC467" s="258"/>
      <c r="AD467" s="258"/>
      <c r="AE467" s="258"/>
      <c r="AF467" s="258"/>
      <c r="AG467" s="258"/>
      <c r="AH467" s="258"/>
      <c r="AI467" s="258"/>
      <c r="AJ467" s="258"/>
      <c r="AK467" s="269"/>
      <c r="AL467" s="258"/>
      <c r="AM467" s="270"/>
      <c r="AN467" s="271"/>
      <c r="AO467" s="258"/>
      <c r="AP467" s="259"/>
      <c r="AQ467" s="258"/>
      <c r="AR467" s="258"/>
      <c r="AS467" s="258"/>
      <c r="AT467" s="269"/>
      <c r="AU467" s="258"/>
      <c r="AV467" s="258"/>
      <c r="AW467" s="258"/>
      <c r="AX467" s="260"/>
      <c r="AY467" s="260"/>
      <c r="AZ467" s="259"/>
      <c r="BA467" s="259"/>
      <c r="BB467" s="259"/>
      <c r="BC467" s="259"/>
      <c r="BD467" s="259"/>
      <c r="BE467" s="258"/>
      <c r="BF467" s="258"/>
      <c r="BG467" s="258"/>
      <c r="BH467" s="258"/>
      <c r="BI467" s="258"/>
      <c r="BJ467" s="258"/>
      <c r="BK467" s="258"/>
      <c r="BL467" s="272"/>
      <c r="BM467" s="272"/>
      <c r="BN467" s="273"/>
      <c r="BO467" s="270"/>
      <c r="BP467" s="270"/>
      <c r="BQ467" s="270"/>
      <c r="BR467" s="270"/>
      <c r="BS467" s="270"/>
      <c r="BT467" s="273"/>
      <c r="BU467" s="258"/>
      <c r="BV467" s="269"/>
      <c r="BY467" s="261"/>
      <c r="BZ467" s="261"/>
      <c r="CD467" s="270"/>
    </row>
    <row r="468" spans="1:82" s="265" customFormat="1" x14ac:dyDescent="0.3">
      <c r="A468" s="262"/>
      <c r="B468" s="262"/>
      <c r="C468" s="262"/>
      <c r="D468" s="263"/>
      <c r="E468" s="264"/>
      <c r="F468" s="262"/>
      <c r="J468" s="247"/>
      <c r="U468" s="267"/>
      <c r="W468" s="268"/>
      <c r="Y468" s="268"/>
      <c r="Z468" s="258"/>
      <c r="AA468" s="258"/>
      <c r="AB468" s="258"/>
      <c r="AC468" s="258"/>
      <c r="AD468" s="258"/>
      <c r="AE468" s="258"/>
      <c r="AF468" s="258"/>
      <c r="AG468" s="258"/>
      <c r="AH468" s="258"/>
      <c r="AI468" s="258"/>
      <c r="AJ468" s="258"/>
      <c r="AK468" s="269"/>
      <c r="AL468" s="258"/>
      <c r="AM468" s="270"/>
      <c r="AN468" s="271"/>
      <c r="AO468" s="258"/>
      <c r="AP468" s="259"/>
      <c r="AQ468" s="258"/>
      <c r="AR468" s="258"/>
      <c r="AS468" s="258"/>
      <c r="AT468" s="269"/>
      <c r="AU468" s="258"/>
      <c r="AV468" s="258"/>
      <c r="AW468" s="258"/>
      <c r="AX468" s="260"/>
      <c r="AY468" s="260"/>
      <c r="AZ468" s="259"/>
      <c r="BA468" s="259"/>
      <c r="BB468" s="259"/>
      <c r="BC468" s="259"/>
      <c r="BD468" s="259"/>
      <c r="BE468" s="258"/>
      <c r="BF468" s="258"/>
      <c r="BG468" s="258"/>
      <c r="BH468" s="258"/>
      <c r="BI468" s="258"/>
      <c r="BJ468" s="258"/>
      <c r="BK468" s="258"/>
      <c r="BL468" s="272"/>
      <c r="BM468" s="272"/>
      <c r="BN468" s="273"/>
      <c r="BO468" s="270"/>
      <c r="BP468" s="270"/>
      <c r="BQ468" s="270"/>
      <c r="BR468" s="270"/>
      <c r="BS468" s="270"/>
      <c r="BT468" s="273"/>
      <c r="BU468" s="258"/>
      <c r="BV468" s="269"/>
      <c r="BY468" s="261"/>
      <c r="BZ468" s="261"/>
      <c r="CD468" s="270"/>
    </row>
    <row r="469" spans="1:82" s="265" customFormat="1" x14ac:dyDescent="0.3">
      <c r="A469" s="262"/>
      <c r="B469" s="262"/>
      <c r="C469" s="262"/>
      <c r="D469" s="263"/>
      <c r="E469" s="264"/>
      <c r="F469" s="262"/>
      <c r="J469" s="247"/>
      <c r="U469" s="267"/>
      <c r="W469" s="268"/>
      <c r="Y469" s="268"/>
      <c r="Z469" s="258"/>
      <c r="AA469" s="258"/>
      <c r="AB469" s="258"/>
      <c r="AC469" s="258"/>
      <c r="AD469" s="258"/>
      <c r="AE469" s="258"/>
      <c r="AF469" s="258"/>
      <c r="AG469" s="258"/>
      <c r="AH469" s="258"/>
      <c r="AI469" s="258"/>
      <c r="AJ469" s="258"/>
      <c r="AK469" s="269"/>
      <c r="AL469" s="258"/>
      <c r="AM469" s="270"/>
      <c r="AN469" s="271"/>
      <c r="AO469" s="258"/>
      <c r="AP469" s="259"/>
      <c r="AQ469" s="258"/>
      <c r="AR469" s="258"/>
      <c r="AS469" s="258"/>
      <c r="AT469" s="269"/>
      <c r="AU469" s="258"/>
      <c r="AV469" s="258"/>
      <c r="AW469" s="258"/>
      <c r="AX469" s="260"/>
      <c r="AY469" s="260"/>
      <c r="AZ469" s="259"/>
      <c r="BA469" s="259"/>
      <c r="BB469" s="259"/>
      <c r="BC469" s="259"/>
      <c r="BD469" s="259"/>
      <c r="BE469" s="258"/>
      <c r="BF469" s="258"/>
      <c r="BG469" s="258"/>
      <c r="BH469" s="258"/>
      <c r="BI469" s="258"/>
      <c r="BJ469" s="258"/>
      <c r="BK469" s="258"/>
      <c r="BL469" s="272"/>
      <c r="BM469" s="272"/>
      <c r="BN469" s="273"/>
      <c r="BO469" s="270"/>
      <c r="BP469" s="270"/>
      <c r="BQ469" s="270"/>
      <c r="BR469" s="270"/>
      <c r="BS469" s="270"/>
      <c r="BT469" s="273"/>
      <c r="BU469" s="258"/>
      <c r="BV469" s="269"/>
      <c r="BY469" s="261"/>
      <c r="BZ469" s="261"/>
      <c r="CD469" s="270"/>
    </row>
    <row r="470" spans="1:82" s="265" customFormat="1" x14ac:dyDescent="0.3">
      <c r="A470" s="262"/>
      <c r="B470" s="262"/>
      <c r="C470" s="262"/>
      <c r="D470" s="263"/>
      <c r="E470" s="264"/>
      <c r="F470" s="262"/>
      <c r="J470" s="256"/>
      <c r="U470" s="267"/>
      <c r="W470" s="268"/>
      <c r="Y470" s="268"/>
      <c r="Z470" s="258"/>
      <c r="AA470" s="258"/>
      <c r="AB470" s="258"/>
      <c r="AC470" s="258"/>
      <c r="AD470" s="258"/>
      <c r="AE470" s="258"/>
      <c r="AF470" s="258"/>
      <c r="AG470" s="258"/>
      <c r="AH470" s="258"/>
      <c r="AI470" s="258"/>
      <c r="AJ470" s="258"/>
      <c r="AK470" s="269"/>
      <c r="AL470" s="258"/>
      <c r="AM470" s="270"/>
      <c r="AN470" s="271"/>
      <c r="AO470" s="258"/>
      <c r="AP470" s="259"/>
      <c r="AQ470" s="258"/>
      <c r="AR470" s="258"/>
      <c r="AS470" s="258"/>
      <c r="AT470" s="269"/>
      <c r="AU470" s="258"/>
      <c r="AV470" s="258"/>
      <c r="AW470" s="258"/>
      <c r="AX470" s="260"/>
      <c r="AY470" s="260"/>
      <c r="AZ470" s="259"/>
      <c r="BA470" s="259"/>
      <c r="BB470" s="259"/>
      <c r="BC470" s="259"/>
      <c r="BD470" s="259"/>
      <c r="BE470" s="258"/>
      <c r="BF470" s="258"/>
      <c r="BG470" s="258"/>
      <c r="BH470" s="258"/>
      <c r="BI470" s="258"/>
      <c r="BJ470" s="258"/>
      <c r="BK470" s="258"/>
      <c r="BL470" s="272"/>
      <c r="BM470" s="272"/>
      <c r="BN470" s="273"/>
      <c r="BO470" s="270"/>
      <c r="BP470" s="270"/>
      <c r="BQ470" s="270"/>
      <c r="BR470" s="270"/>
      <c r="BS470" s="270"/>
      <c r="BT470" s="273"/>
      <c r="BU470" s="258"/>
      <c r="BV470" s="269"/>
      <c r="BY470" s="261"/>
      <c r="BZ470" s="261"/>
      <c r="CD470" s="270"/>
    </row>
    <row r="471" spans="1:82" s="265" customFormat="1" x14ac:dyDescent="0.3">
      <c r="A471" s="262"/>
      <c r="B471" s="262"/>
      <c r="C471" s="262"/>
      <c r="D471" s="263"/>
      <c r="E471" s="264"/>
      <c r="F471" s="262"/>
      <c r="J471" s="238"/>
      <c r="U471" s="267"/>
      <c r="W471" s="268"/>
      <c r="Y471" s="268"/>
      <c r="Z471" s="258"/>
      <c r="AA471" s="258"/>
      <c r="AB471" s="258"/>
      <c r="AC471" s="258"/>
      <c r="AD471" s="258"/>
      <c r="AE471" s="258"/>
      <c r="AF471" s="258"/>
      <c r="AG471" s="258"/>
      <c r="AH471" s="258"/>
      <c r="AI471" s="258"/>
      <c r="AJ471" s="258"/>
      <c r="AK471" s="269"/>
      <c r="AL471" s="258"/>
      <c r="AM471" s="270"/>
      <c r="AN471" s="271"/>
      <c r="AO471" s="258"/>
      <c r="AP471" s="259"/>
      <c r="AQ471" s="258"/>
      <c r="AR471" s="258"/>
      <c r="AS471" s="258"/>
      <c r="AT471" s="269"/>
      <c r="AU471" s="258"/>
      <c r="AV471" s="258"/>
      <c r="AW471" s="258"/>
      <c r="AX471" s="260"/>
      <c r="AY471" s="260"/>
      <c r="AZ471" s="259"/>
      <c r="BA471" s="259"/>
      <c r="BB471" s="259"/>
      <c r="BC471" s="259"/>
      <c r="BD471" s="259"/>
      <c r="BE471" s="258"/>
      <c r="BF471" s="258"/>
      <c r="BG471" s="258"/>
      <c r="BH471" s="258"/>
      <c r="BI471" s="258"/>
      <c r="BJ471" s="258"/>
      <c r="BK471" s="258"/>
      <c r="BL471" s="272"/>
      <c r="BM471" s="272"/>
      <c r="BN471" s="273"/>
      <c r="BO471" s="270"/>
      <c r="BP471" s="270"/>
      <c r="BQ471" s="270"/>
      <c r="BR471" s="270"/>
      <c r="BS471" s="270"/>
      <c r="BT471" s="273"/>
      <c r="BU471" s="258"/>
      <c r="BV471" s="269"/>
      <c r="BY471" s="261"/>
      <c r="BZ471" s="261"/>
      <c r="CD471" s="270"/>
    </row>
    <row r="472" spans="1:82" s="265" customFormat="1" x14ac:dyDescent="0.3">
      <c r="A472" s="262"/>
      <c r="B472" s="262"/>
      <c r="C472" s="262"/>
      <c r="D472" s="263"/>
      <c r="E472" s="264"/>
      <c r="F472" s="262"/>
      <c r="J472" s="266"/>
      <c r="U472" s="267"/>
      <c r="W472" s="268"/>
      <c r="Y472" s="268"/>
      <c r="Z472" s="258"/>
      <c r="AA472" s="258"/>
      <c r="AB472" s="258"/>
      <c r="AC472" s="258"/>
      <c r="AD472" s="258"/>
      <c r="AE472" s="258"/>
      <c r="AF472" s="258"/>
      <c r="AG472" s="258"/>
      <c r="AH472" s="258"/>
      <c r="AI472" s="258"/>
      <c r="AJ472" s="258"/>
      <c r="AK472" s="269"/>
      <c r="AL472" s="258"/>
      <c r="AM472" s="270"/>
      <c r="AN472" s="271"/>
      <c r="AO472" s="258"/>
      <c r="AP472" s="259"/>
      <c r="AQ472" s="258"/>
      <c r="AR472" s="258"/>
      <c r="AS472" s="258"/>
      <c r="AT472" s="269"/>
      <c r="AU472" s="258"/>
      <c r="AV472" s="258"/>
      <c r="AW472" s="258"/>
      <c r="AX472" s="260"/>
      <c r="AY472" s="260"/>
      <c r="AZ472" s="259"/>
      <c r="BA472" s="259"/>
      <c r="BB472" s="259"/>
      <c r="BC472" s="259"/>
      <c r="BD472" s="259"/>
      <c r="BE472" s="258"/>
      <c r="BF472" s="258"/>
      <c r="BG472" s="258"/>
      <c r="BH472" s="258"/>
      <c r="BI472" s="258"/>
      <c r="BJ472" s="258"/>
      <c r="BK472" s="258"/>
      <c r="BL472" s="272"/>
      <c r="BM472" s="272"/>
      <c r="BN472" s="273"/>
      <c r="BO472" s="270"/>
      <c r="BP472" s="270"/>
      <c r="BQ472" s="270"/>
      <c r="BR472" s="270"/>
      <c r="BS472" s="270"/>
      <c r="BT472" s="273"/>
      <c r="BU472" s="258"/>
      <c r="BV472" s="269"/>
      <c r="BY472" s="261"/>
      <c r="BZ472" s="261"/>
      <c r="CD472" s="270"/>
    </row>
    <row r="473" spans="1:82" s="265" customFormat="1" x14ac:dyDescent="0.3">
      <c r="A473" s="262"/>
      <c r="B473" s="262"/>
      <c r="C473" s="262"/>
      <c r="D473" s="263"/>
      <c r="E473" s="264"/>
      <c r="F473" s="262"/>
      <c r="J473" s="247"/>
      <c r="U473" s="267"/>
      <c r="W473" s="268"/>
      <c r="Y473" s="268"/>
      <c r="Z473" s="258"/>
      <c r="AA473" s="258"/>
      <c r="AB473" s="258"/>
      <c r="AC473" s="258"/>
      <c r="AD473" s="258"/>
      <c r="AE473" s="258"/>
      <c r="AF473" s="258"/>
      <c r="AG473" s="258"/>
      <c r="AH473" s="258"/>
      <c r="AI473" s="258"/>
      <c r="AJ473" s="258"/>
      <c r="AK473" s="269"/>
      <c r="AL473" s="258"/>
      <c r="AM473" s="270"/>
      <c r="AN473" s="271"/>
      <c r="AO473" s="258"/>
      <c r="AP473" s="259"/>
      <c r="AQ473" s="258"/>
      <c r="AR473" s="258"/>
      <c r="AS473" s="258"/>
      <c r="AT473" s="269"/>
      <c r="AU473" s="258"/>
      <c r="AV473" s="258"/>
      <c r="AW473" s="258"/>
      <c r="AX473" s="260"/>
      <c r="AY473" s="260"/>
      <c r="AZ473" s="259"/>
      <c r="BA473" s="259"/>
      <c r="BB473" s="259"/>
      <c r="BC473" s="259"/>
      <c r="BD473" s="259"/>
      <c r="BE473" s="258"/>
      <c r="BF473" s="258"/>
      <c r="BG473" s="258"/>
      <c r="BH473" s="258"/>
      <c r="BI473" s="258"/>
      <c r="BJ473" s="258"/>
      <c r="BK473" s="258"/>
      <c r="BL473" s="272"/>
      <c r="BM473" s="272"/>
      <c r="BN473" s="273"/>
      <c r="BO473" s="270"/>
      <c r="BP473" s="270"/>
      <c r="BQ473" s="270"/>
      <c r="BR473" s="270"/>
      <c r="BS473" s="270"/>
      <c r="BT473" s="273"/>
      <c r="BU473" s="258"/>
      <c r="BV473" s="269"/>
      <c r="BY473" s="261"/>
      <c r="BZ473" s="261"/>
      <c r="CD473" s="270"/>
    </row>
    <row r="474" spans="1:82" s="265" customFormat="1" x14ac:dyDescent="0.3">
      <c r="A474" s="262"/>
      <c r="B474" s="262"/>
      <c r="C474" s="262"/>
      <c r="D474" s="263"/>
      <c r="E474" s="264"/>
      <c r="F474" s="262"/>
      <c r="J474" s="256"/>
      <c r="U474" s="267"/>
      <c r="W474" s="268"/>
      <c r="Y474" s="268"/>
      <c r="Z474" s="258"/>
      <c r="AA474" s="258"/>
      <c r="AB474" s="258"/>
      <c r="AC474" s="258"/>
      <c r="AD474" s="258"/>
      <c r="AE474" s="258"/>
      <c r="AF474" s="258"/>
      <c r="AG474" s="258"/>
      <c r="AH474" s="258"/>
      <c r="AI474" s="258"/>
      <c r="AJ474" s="258"/>
      <c r="AK474" s="269"/>
      <c r="AL474" s="258"/>
      <c r="AM474" s="270"/>
      <c r="AN474" s="271"/>
      <c r="AO474" s="258"/>
      <c r="AP474" s="259"/>
      <c r="AQ474" s="258"/>
      <c r="AR474" s="258"/>
      <c r="AS474" s="258"/>
      <c r="AT474" s="269"/>
      <c r="AU474" s="258"/>
      <c r="AV474" s="258"/>
      <c r="AW474" s="258"/>
      <c r="AX474" s="260"/>
      <c r="AY474" s="260"/>
      <c r="AZ474" s="259"/>
      <c r="BA474" s="259"/>
      <c r="BB474" s="259"/>
      <c r="BC474" s="259"/>
      <c r="BD474" s="259"/>
      <c r="BE474" s="258"/>
      <c r="BF474" s="258"/>
      <c r="BG474" s="258"/>
      <c r="BH474" s="258"/>
      <c r="BI474" s="258"/>
      <c r="BJ474" s="258"/>
      <c r="BK474" s="258"/>
      <c r="BL474" s="272"/>
      <c r="BM474" s="272"/>
      <c r="BN474" s="273"/>
      <c r="BO474" s="270"/>
      <c r="BP474" s="270"/>
      <c r="BQ474" s="270"/>
      <c r="BR474" s="270"/>
      <c r="BS474" s="270"/>
      <c r="BT474" s="273"/>
      <c r="BU474" s="258"/>
      <c r="BV474" s="269"/>
      <c r="BY474" s="261"/>
      <c r="BZ474" s="261"/>
      <c r="CD474" s="270"/>
    </row>
    <row r="475" spans="1:82" s="265" customFormat="1" x14ac:dyDescent="0.3">
      <c r="A475" s="262"/>
      <c r="B475" s="262"/>
      <c r="C475" s="262"/>
      <c r="D475" s="263"/>
      <c r="E475" s="264"/>
      <c r="F475" s="262"/>
      <c r="J475" s="238"/>
      <c r="U475" s="267"/>
      <c r="W475" s="268"/>
      <c r="Y475" s="268"/>
      <c r="Z475" s="258"/>
      <c r="AA475" s="258"/>
      <c r="AB475" s="258"/>
      <c r="AC475" s="258"/>
      <c r="AD475" s="258"/>
      <c r="AE475" s="258"/>
      <c r="AF475" s="258"/>
      <c r="AG475" s="258"/>
      <c r="AH475" s="258"/>
      <c r="AI475" s="258"/>
      <c r="AJ475" s="258"/>
      <c r="AK475" s="269"/>
      <c r="AL475" s="258"/>
      <c r="AM475" s="270"/>
      <c r="AN475" s="271"/>
      <c r="AO475" s="258"/>
      <c r="AP475" s="259"/>
      <c r="AQ475" s="258"/>
      <c r="AR475" s="258"/>
      <c r="AS475" s="258"/>
      <c r="AT475" s="269"/>
      <c r="AU475" s="258"/>
      <c r="AV475" s="258"/>
      <c r="AW475" s="258"/>
      <c r="AX475" s="260"/>
      <c r="AY475" s="260"/>
      <c r="AZ475" s="259"/>
      <c r="BA475" s="259"/>
      <c r="BB475" s="259"/>
      <c r="BC475" s="259"/>
      <c r="BD475" s="259"/>
      <c r="BE475" s="258"/>
      <c r="BF475" s="258"/>
      <c r="BG475" s="258"/>
      <c r="BH475" s="258"/>
      <c r="BI475" s="258"/>
      <c r="BJ475" s="258"/>
      <c r="BK475" s="258"/>
      <c r="BL475" s="272"/>
      <c r="BM475" s="272"/>
      <c r="BN475" s="273"/>
      <c r="BO475" s="270"/>
      <c r="BP475" s="270"/>
      <c r="BQ475" s="270"/>
      <c r="BR475" s="270"/>
      <c r="BS475" s="270"/>
      <c r="BT475" s="273"/>
      <c r="BU475" s="258"/>
      <c r="BV475" s="269"/>
      <c r="BY475" s="261"/>
      <c r="BZ475" s="261"/>
      <c r="CD475" s="270"/>
    </row>
    <row r="476" spans="1:82" s="265" customFormat="1" x14ac:dyDescent="0.3">
      <c r="A476" s="262"/>
      <c r="B476" s="262"/>
      <c r="C476" s="262"/>
      <c r="D476" s="263"/>
      <c r="E476" s="264"/>
      <c r="F476" s="262"/>
      <c r="J476" s="246"/>
      <c r="U476" s="267"/>
      <c r="W476" s="268"/>
      <c r="Y476" s="268"/>
      <c r="Z476" s="258"/>
      <c r="AA476" s="258"/>
      <c r="AB476" s="258"/>
      <c r="AC476" s="258"/>
      <c r="AD476" s="258"/>
      <c r="AE476" s="258"/>
      <c r="AF476" s="258"/>
      <c r="AG476" s="258"/>
      <c r="AH476" s="258"/>
      <c r="AI476" s="258"/>
      <c r="AJ476" s="258"/>
      <c r="AK476" s="269"/>
      <c r="AL476" s="258"/>
      <c r="AM476" s="270"/>
      <c r="AN476" s="271"/>
      <c r="AO476" s="258"/>
      <c r="AP476" s="259"/>
      <c r="AQ476" s="258"/>
      <c r="AR476" s="258"/>
      <c r="AS476" s="258"/>
      <c r="AT476" s="269"/>
      <c r="AU476" s="258"/>
      <c r="AV476" s="258"/>
      <c r="AW476" s="258"/>
      <c r="AX476" s="260"/>
      <c r="AY476" s="260"/>
      <c r="AZ476" s="259"/>
      <c r="BA476" s="259"/>
      <c r="BB476" s="259"/>
      <c r="BC476" s="259"/>
      <c r="BD476" s="259"/>
      <c r="BE476" s="258"/>
      <c r="BF476" s="258"/>
      <c r="BG476" s="258"/>
      <c r="BH476" s="258"/>
      <c r="BI476" s="258"/>
      <c r="BJ476" s="258"/>
      <c r="BK476" s="258"/>
      <c r="BL476" s="272"/>
      <c r="BM476" s="272"/>
      <c r="BN476" s="273"/>
      <c r="BO476" s="270"/>
      <c r="BP476" s="270"/>
      <c r="BQ476" s="270"/>
      <c r="BR476" s="270"/>
      <c r="BS476" s="270"/>
      <c r="BT476" s="273"/>
      <c r="BU476" s="258"/>
      <c r="BV476" s="269"/>
      <c r="BY476" s="261"/>
      <c r="BZ476" s="261"/>
      <c r="CD476" s="270"/>
    </row>
    <row r="477" spans="1:82" s="265" customFormat="1" x14ac:dyDescent="0.3">
      <c r="A477" s="262"/>
      <c r="B477" s="262"/>
      <c r="C477" s="262"/>
      <c r="D477" s="263"/>
      <c r="E477" s="264"/>
      <c r="F477" s="262"/>
      <c r="J477" s="238"/>
      <c r="U477" s="267"/>
      <c r="W477" s="268"/>
      <c r="Y477" s="268"/>
      <c r="Z477" s="258"/>
      <c r="AA477" s="258"/>
      <c r="AB477" s="258"/>
      <c r="AC477" s="258"/>
      <c r="AD477" s="258"/>
      <c r="AE477" s="258"/>
      <c r="AF477" s="258"/>
      <c r="AG477" s="258"/>
      <c r="AH477" s="258"/>
      <c r="AI477" s="258"/>
      <c r="AJ477" s="258"/>
      <c r="AK477" s="269"/>
      <c r="AL477" s="258"/>
      <c r="AM477" s="270"/>
      <c r="AN477" s="271"/>
      <c r="AO477" s="258"/>
      <c r="AP477" s="259"/>
      <c r="AQ477" s="258"/>
      <c r="AR477" s="258"/>
      <c r="AS477" s="258"/>
      <c r="AT477" s="269"/>
      <c r="AU477" s="258"/>
      <c r="AV477" s="258"/>
      <c r="AW477" s="258"/>
      <c r="AX477" s="260"/>
      <c r="AY477" s="260"/>
      <c r="AZ477" s="259"/>
      <c r="BA477" s="259"/>
      <c r="BB477" s="259"/>
      <c r="BC477" s="259"/>
      <c r="BD477" s="259"/>
      <c r="BE477" s="258"/>
      <c r="BF477" s="258"/>
      <c r="BG477" s="258"/>
      <c r="BH477" s="258"/>
      <c r="BI477" s="258"/>
      <c r="BJ477" s="258"/>
      <c r="BK477" s="258"/>
      <c r="BL477" s="272"/>
      <c r="BM477" s="272"/>
      <c r="BN477" s="273"/>
      <c r="BO477" s="270"/>
      <c r="BP477" s="270"/>
      <c r="BQ477" s="270"/>
      <c r="BR477" s="270"/>
      <c r="BS477" s="270"/>
      <c r="BT477" s="273"/>
      <c r="BU477" s="258"/>
      <c r="BV477" s="269"/>
      <c r="BY477" s="261"/>
      <c r="BZ477" s="261"/>
      <c r="CD477" s="270"/>
    </row>
    <row r="478" spans="1:82" s="265" customFormat="1" x14ac:dyDescent="0.3">
      <c r="A478" s="262"/>
      <c r="B478" s="262"/>
      <c r="C478" s="262"/>
      <c r="D478" s="263"/>
      <c r="E478" s="264"/>
      <c r="F478" s="262"/>
      <c r="J478" s="246"/>
      <c r="U478" s="267"/>
      <c r="W478" s="268"/>
      <c r="Y478" s="268"/>
      <c r="Z478" s="258"/>
      <c r="AA478" s="258"/>
      <c r="AB478" s="258"/>
      <c r="AC478" s="258"/>
      <c r="AD478" s="258"/>
      <c r="AE478" s="258"/>
      <c r="AF478" s="258"/>
      <c r="AG478" s="258"/>
      <c r="AH478" s="258"/>
      <c r="AI478" s="258"/>
      <c r="AJ478" s="258"/>
      <c r="AK478" s="269"/>
      <c r="AL478" s="258"/>
      <c r="AM478" s="270"/>
      <c r="AN478" s="271"/>
      <c r="AO478" s="258"/>
      <c r="AP478" s="259"/>
      <c r="AQ478" s="258"/>
      <c r="AR478" s="258"/>
      <c r="AS478" s="258"/>
      <c r="AT478" s="269"/>
      <c r="AU478" s="258"/>
      <c r="AV478" s="258"/>
      <c r="AW478" s="258"/>
      <c r="AX478" s="260"/>
      <c r="AY478" s="260"/>
      <c r="AZ478" s="259"/>
      <c r="BA478" s="259"/>
      <c r="BB478" s="259"/>
      <c r="BC478" s="259"/>
      <c r="BD478" s="259"/>
      <c r="BE478" s="258"/>
      <c r="BF478" s="258"/>
      <c r="BG478" s="258"/>
      <c r="BH478" s="258"/>
      <c r="BI478" s="258"/>
      <c r="BJ478" s="258"/>
      <c r="BK478" s="258"/>
      <c r="BL478" s="272"/>
      <c r="BM478" s="272"/>
      <c r="BN478" s="273"/>
      <c r="BO478" s="270"/>
      <c r="BP478" s="270"/>
      <c r="BQ478" s="270"/>
      <c r="BR478" s="270"/>
      <c r="BS478" s="270"/>
      <c r="BT478" s="273"/>
      <c r="BU478" s="258"/>
      <c r="BV478" s="269"/>
      <c r="BY478" s="261"/>
      <c r="BZ478" s="261"/>
      <c r="CD478" s="270"/>
    </row>
    <row r="482" spans="1:82" s="265" customFormat="1" x14ac:dyDescent="0.3">
      <c r="A482" s="262"/>
      <c r="B482" s="262"/>
      <c r="C482" s="262"/>
      <c r="D482" s="263"/>
      <c r="E482" s="264"/>
      <c r="F482" s="262"/>
      <c r="J482" s="259"/>
      <c r="U482" s="267"/>
      <c r="W482" s="268"/>
      <c r="Y482" s="268"/>
      <c r="Z482" s="258"/>
      <c r="AA482" s="258"/>
      <c r="AB482" s="258"/>
      <c r="AC482" s="258"/>
      <c r="AD482" s="258"/>
      <c r="AE482" s="258"/>
      <c r="AF482" s="258"/>
      <c r="AG482" s="258"/>
      <c r="AH482" s="258"/>
      <c r="AI482" s="258"/>
      <c r="AJ482" s="258"/>
      <c r="AK482" s="269"/>
      <c r="AL482" s="258"/>
      <c r="AM482" s="270"/>
      <c r="AN482" s="271"/>
      <c r="AO482" s="258"/>
      <c r="AP482" s="259"/>
      <c r="AQ482" s="258"/>
      <c r="AR482" s="258"/>
      <c r="AS482" s="258"/>
      <c r="AT482" s="269"/>
      <c r="AU482" s="258"/>
      <c r="AV482" s="258"/>
      <c r="AW482" s="258"/>
      <c r="AX482" s="260"/>
      <c r="AY482" s="260"/>
      <c r="AZ482" s="259"/>
      <c r="BA482" s="259"/>
      <c r="BB482" s="259"/>
      <c r="BC482" s="259"/>
      <c r="BD482" s="259"/>
      <c r="BE482" s="258"/>
      <c r="BF482" s="258"/>
      <c r="BG482" s="258"/>
      <c r="BH482" s="258"/>
      <c r="BI482" s="258"/>
      <c r="BJ482" s="258"/>
      <c r="BK482" s="258"/>
      <c r="BL482" s="272"/>
      <c r="BM482" s="272"/>
      <c r="BN482" s="273"/>
      <c r="BO482" s="270"/>
      <c r="BP482" s="270"/>
      <c r="BQ482" s="270"/>
      <c r="BR482" s="270"/>
      <c r="BS482" s="270"/>
      <c r="BT482" s="273"/>
      <c r="BU482" s="258"/>
      <c r="BV482" s="269"/>
      <c r="BY482" s="261"/>
      <c r="BZ482" s="261"/>
      <c r="CD482" s="270"/>
    </row>
    <row r="483" spans="1:82" s="265" customFormat="1" x14ac:dyDescent="0.3">
      <c r="A483" s="262"/>
      <c r="B483" s="262"/>
      <c r="C483" s="262"/>
      <c r="D483" s="263"/>
      <c r="E483" s="264"/>
      <c r="F483" s="262"/>
      <c r="J483" s="259"/>
      <c r="U483" s="267"/>
      <c r="W483" s="268"/>
      <c r="Y483" s="268"/>
      <c r="Z483" s="258"/>
      <c r="AA483" s="258"/>
      <c r="AB483" s="258"/>
      <c r="AC483" s="258"/>
      <c r="AD483" s="258"/>
      <c r="AE483" s="258"/>
      <c r="AF483" s="258"/>
      <c r="AG483" s="258"/>
      <c r="AH483" s="258"/>
      <c r="AI483" s="258"/>
      <c r="AJ483" s="258"/>
      <c r="AK483" s="269"/>
      <c r="AL483" s="258"/>
      <c r="AM483" s="270"/>
      <c r="AN483" s="271"/>
      <c r="AO483" s="258"/>
      <c r="AP483" s="259"/>
      <c r="AQ483" s="258"/>
      <c r="AR483" s="258"/>
      <c r="AS483" s="258"/>
      <c r="AT483" s="269"/>
      <c r="AU483" s="258"/>
      <c r="AV483" s="258"/>
      <c r="AW483" s="258"/>
      <c r="AX483" s="260"/>
      <c r="AY483" s="260"/>
      <c r="AZ483" s="259"/>
      <c r="BA483" s="259"/>
      <c r="BB483" s="259"/>
      <c r="BC483" s="259"/>
      <c r="BD483" s="259"/>
      <c r="BE483" s="258"/>
      <c r="BF483" s="258"/>
      <c r="BG483" s="258"/>
      <c r="BH483" s="258"/>
      <c r="BI483" s="258"/>
      <c r="BJ483" s="258"/>
      <c r="BK483" s="258"/>
      <c r="BL483" s="272"/>
      <c r="BM483" s="272"/>
      <c r="BN483" s="273"/>
      <c r="BO483" s="270"/>
      <c r="BP483" s="270"/>
      <c r="BQ483" s="270"/>
      <c r="BR483" s="270"/>
      <c r="BS483" s="270"/>
      <c r="BT483" s="273"/>
      <c r="BU483" s="258"/>
      <c r="BV483" s="269"/>
      <c r="BY483" s="261"/>
      <c r="BZ483" s="261"/>
      <c r="CD483" s="270"/>
    </row>
    <row r="485" spans="1:82" s="265" customFormat="1" x14ac:dyDescent="0.3">
      <c r="A485" s="262"/>
      <c r="B485" s="262"/>
      <c r="C485" s="262"/>
      <c r="D485" s="263"/>
      <c r="E485" s="264"/>
      <c r="F485" s="262"/>
      <c r="J485" s="280"/>
      <c r="U485" s="267"/>
      <c r="W485" s="268"/>
      <c r="Y485" s="268"/>
      <c r="Z485" s="258"/>
      <c r="AA485" s="258"/>
      <c r="AB485" s="258"/>
      <c r="AC485" s="258"/>
      <c r="AD485" s="258"/>
      <c r="AE485" s="258"/>
      <c r="AF485" s="258"/>
      <c r="AG485" s="258"/>
      <c r="AH485" s="258"/>
      <c r="AI485" s="258"/>
      <c r="AJ485" s="258"/>
      <c r="AK485" s="269"/>
      <c r="AL485" s="258"/>
      <c r="AM485" s="270"/>
      <c r="AN485" s="271"/>
      <c r="AO485" s="258"/>
      <c r="AP485" s="259"/>
      <c r="AQ485" s="258"/>
      <c r="AR485" s="258"/>
      <c r="AS485" s="258"/>
      <c r="AT485" s="269"/>
      <c r="AU485" s="258"/>
      <c r="AV485" s="258"/>
      <c r="AW485" s="258"/>
      <c r="AX485" s="260"/>
      <c r="AY485" s="260"/>
      <c r="AZ485" s="259"/>
      <c r="BA485" s="259"/>
      <c r="BB485" s="259"/>
      <c r="BC485" s="259"/>
      <c r="BD485" s="259"/>
      <c r="BE485" s="258"/>
      <c r="BF485" s="258"/>
      <c r="BG485" s="258"/>
      <c r="BH485" s="258"/>
      <c r="BI485" s="258"/>
      <c r="BJ485" s="258"/>
      <c r="BK485" s="258"/>
      <c r="BL485" s="272"/>
      <c r="BM485" s="272"/>
      <c r="BN485" s="273"/>
      <c r="BO485" s="270"/>
      <c r="BP485" s="270"/>
      <c r="BQ485" s="270"/>
      <c r="BR485" s="270"/>
      <c r="BS485" s="270"/>
      <c r="BT485" s="273"/>
      <c r="BU485" s="258"/>
      <c r="BV485" s="269"/>
      <c r="BY485" s="261"/>
      <c r="BZ485" s="261"/>
      <c r="CD485" s="270"/>
    </row>
  </sheetData>
  <mergeCells count="4">
    <mergeCell ref="B1:F1"/>
    <mergeCell ref="AQ1:AQ2"/>
    <mergeCell ref="AR1:AR2"/>
    <mergeCell ref="AS1:AS2"/>
  </mergeCells>
  <printOptions horizontalCentered="1"/>
  <pageMargins left="0.19685039370078741" right="0.31496062992125984" top="0.98425196850393704" bottom="0.98425196850393704" header="0.39370078740157483" footer="0.31496062992125984"/>
  <pageSetup paperSize="9" scale="61" fitToHeight="4" orientation="portrait" r:id="rId1"/>
  <headerFooter>
    <oddHeader>&amp;C&amp;"Arial,Grassetto"A.P.S.P. "S. Spirito - Fondazione Montel"
- Pergine Valsugana -
CONTO ECONOMICO 2024</oddHeader>
    <oddFooter>&amp;C&amp;P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Conto Economico 2024</vt:lpstr>
      <vt:lpstr>'Conto Economico 2024'!Titoli_stampa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Chiara Corradi</dc:creator>
  <cp:lastModifiedBy>Chiara Corradi</cp:lastModifiedBy>
  <dcterms:created xsi:type="dcterms:W3CDTF">2025-05-09T07:38:36Z</dcterms:created>
  <dcterms:modified xsi:type="dcterms:W3CDTF">2025-05-09T07:38:58Z</dcterms:modified>
</cp:coreProperties>
</file>