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orradic\RAGIONERIA\SITO INTERNET\Documenti contabili\BILANCIO 2025\"/>
    </mc:Choice>
  </mc:AlternateContent>
  <xr:revisionPtr revIDLastSave="0" documentId="13_ncr:1_{24A3F2C9-AFFD-49A9-8FAF-2D8385F77181}" xr6:coauthVersionLast="47" xr6:coauthVersionMax="47" xr10:uidLastSave="{00000000-0000-0000-0000-000000000000}"/>
  <bookViews>
    <workbookView xWindow="-120" yWindow="-120" windowWidth="29040" windowHeight="15720" xr2:uid="{648A04F3-6755-4A7C-A673-05CA273EEB40}"/>
  </bookViews>
  <sheets>
    <sheet name="Conto Economico 2025" sheetId="1" r:id="rId1"/>
  </sheets>
  <externalReferences>
    <externalReference r:id="rId2"/>
    <externalReference r:id="rId3"/>
  </externalReferences>
  <definedNames>
    <definedName name="_xlnm._FilterDatabase" localSheetId="0" hidden="1">'Conto Economico 2025'!$A$1:$Y$364</definedName>
    <definedName name="_xlnm.Print_Area" localSheetId="0">'Conto Economico 2025'!$B$1:$R$369</definedName>
    <definedName name="JR_PAGE_ANCHOR_0_1">[1]CU_RiepilogoPresenzeClassificaz!#REF!</definedName>
    <definedName name="_xlnm.Print_Titles" localSheetId="0">'Conto Economico 2025'!$1:$1</definedName>
    <definedName name="VOCI">[2]VOCI!$A$2:$A$30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64" i="1" l="1"/>
  <c r="N363" i="1"/>
  <c r="N362" i="1"/>
  <c r="N361" i="1"/>
  <c r="N360" i="1"/>
  <c r="T359" i="1"/>
  <c r="T358" i="1"/>
  <c r="P358" i="1"/>
  <c r="I358" i="1"/>
  <c r="I357" i="1" s="1"/>
  <c r="T357" i="1"/>
  <c r="L357" i="1"/>
  <c r="K357" i="1"/>
  <c r="P357" i="1" s="1"/>
  <c r="H357" i="1"/>
  <c r="G357" i="1"/>
  <c r="G356" i="1" s="1"/>
  <c r="G355" i="1" s="1"/>
  <c r="P355" i="1" s="1"/>
  <c r="T356" i="1"/>
  <c r="L356" i="1"/>
  <c r="K356" i="1"/>
  <c r="I356" i="1"/>
  <c r="I355" i="1" s="1"/>
  <c r="I354" i="1" s="1"/>
  <c r="H356" i="1"/>
  <c r="T355" i="1"/>
  <c r="L355" i="1"/>
  <c r="K355" i="1"/>
  <c r="H355" i="1"/>
  <c r="H354" i="1" s="1"/>
  <c r="T354" i="1"/>
  <c r="L354" i="1"/>
  <c r="K354" i="1"/>
  <c r="G354" i="1"/>
  <c r="P354" i="1" s="1"/>
  <c r="T353" i="1"/>
  <c r="T352" i="1"/>
  <c r="P352" i="1"/>
  <c r="O352" i="1"/>
  <c r="N352" i="1"/>
  <c r="M352" i="1"/>
  <c r="T351" i="1"/>
  <c r="P351" i="1"/>
  <c r="O351" i="1"/>
  <c r="N351" i="1"/>
  <c r="M351" i="1"/>
  <c r="T350" i="1"/>
  <c r="P350" i="1"/>
  <c r="O350" i="1"/>
  <c r="N350" i="1"/>
  <c r="M350" i="1"/>
  <c r="T349" i="1"/>
  <c r="P349" i="1"/>
  <c r="O349" i="1"/>
  <c r="N349" i="1"/>
  <c r="M349" i="1"/>
  <c r="T348" i="1"/>
  <c r="P348" i="1"/>
  <c r="O348" i="1"/>
  <c r="N348" i="1"/>
  <c r="M348" i="1"/>
  <c r="T347" i="1"/>
  <c r="P347" i="1"/>
  <c r="O347" i="1"/>
  <c r="N347" i="1"/>
  <c r="M347" i="1"/>
  <c r="T346" i="1"/>
  <c r="L346" i="1"/>
  <c r="K346" i="1"/>
  <c r="I346" i="1"/>
  <c r="I341" i="1" s="1"/>
  <c r="M341" i="1" s="1"/>
  <c r="H346" i="1"/>
  <c r="H341" i="1" s="1"/>
  <c r="H340" i="1" s="1"/>
  <c r="G346" i="1"/>
  <c r="N346" i="1" s="1"/>
  <c r="T345" i="1"/>
  <c r="P345" i="1"/>
  <c r="O345" i="1"/>
  <c r="N345" i="1"/>
  <c r="M345" i="1"/>
  <c r="T344" i="1"/>
  <c r="P344" i="1"/>
  <c r="O344" i="1"/>
  <c r="N344" i="1"/>
  <c r="M344" i="1"/>
  <c r="T343" i="1"/>
  <c r="P343" i="1"/>
  <c r="O343" i="1"/>
  <c r="N343" i="1"/>
  <c r="M343" i="1"/>
  <c r="T342" i="1"/>
  <c r="P342" i="1"/>
  <c r="O342" i="1"/>
  <c r="N342" i="1"/>
  <c r="M342" i="1"/>
  <c r="T341" i="1"/>
  <c r="L341" i="1"/>
  <c r="L340" i="1" s="1"/>
  <c r="T340" i="1"/>
  <c r="T339" i="1"/>
  <c r="P339" i="1"/>
  <c r="O339" i="1"/>
  <c r="N339" i="1"/>
  <c r="M339" i="1"/>
  <c r="T338" i="1"/>
  <c r="P338" i="1"/>
  <c r="O338" i="1"/>
  <c r="N338" i="1"/>
  <c r="M338" i="1"/>
  <c r="T337" i="1"/>
  <c r="P337" i="1"/>
  <c r="O337" i="1"/>
  <c r="N337" i="1"/>
  <c r="M337" i="1"/>
  <c r="T336" i="1"/>
  <c r="P336" i="1"/>
  <c r="O336" i="1"/>
  <c r="N336" i="1"/>
  <c r="M336" i="1"/>
  <c r="T335" i="1"/>
  <c r="P335" i="1"/>
  <c r="J335" i="1"/>
  <c r="O335" i="1" s="1"/>
  <c r="I335" i="1"/>
  <c r="I334" i="1" s="1"/>
  <c r="H335" i="1"/>
  <c r="T334" i="1"/>
  <c r="L334" i="1"/>
  <c r="L331" i="1" s="1"/>
  <c r="L330" i="1" s="1"/>
  <c r="K334" i="1"/>
  <c r="H334" i="1"/>
  <c r="H331" i="1" s="1"/>
  <c r="H330" i="1" s="1"/>
  <c r="H329" i="1" s="1"/>
  <c r="G334" i="1"/>
  <c r="G331" i="1" s="1"/>
  <c r="G330" i="1" s="1"/>
  <c r="T333" i="1"/>
  <c r="P333" i="1"/>
  <c r="O333" i="1"/>
  <c r="N333" i="1"/>
  <c r="M333" i="1"/>
  <c r="T332" i="1"/>
  <c r="P332" i="1"/>
  <c r="O332" i="1"/>
  <c r="N332" i="1"/>
  <c r="M332" i="1"/>
  <c r="T331" i="1"/>
  <c r="P331" i="1"/>
  <c r="K331" i="1"/>
  <c r="K330" i="1" s="1"/>
  <c r="I331" i="1"/>
  <c r="I330" i="1" s="1"/>
  <c r="T330" i="1"/>
  <c r="T329" i="1"/>
  <c r="L329" i="1"/>
  <c r="T328" i="1"/>
  <c r="T327" i="1"/>
  <c r="P327" i="1"/>
  <c r="I327" i="1"/>
  <c r="J327" i="1" s="1"/>
  <c r="T326" i="1"/>
  <c r="P326" i="1"/>
  <c r="O326" i="1"/>
  <c r="N326" i="1"/>
  <c r="M326" i="1"/>
  <c r="L326" i="1"/>
  <c r="T325" i="1"/>
  <c r="P325" i="1"/>
  <c r="O325" i="1"/>
  <c r="N325" i="1"/>
  <c r="I325" i="1"/>
  <c r="M325" i="1" s="1"/>
  <c r="T324" i="1"/>
  <c r="P324" i="1"/>
  <c r="O324" i="1"/>
  <c r="N324" i="1"/>
  <c r="I324" i="1"/>
  <c r="M324" i="1" s="1"/>
  <c r="H324" i="1"/>
  <c r="T323" i="1"/>
  <c r="P323" i="1"/>
  <c r="O323" i="1"/>
  <c r="N323" i="1"/>
  <c r="I323" i="1"/>
  <c r="M323" i="1" s="1"/>
  <c r="T322" i="1"/>
  <c r="P322" i="1"/>
  <c r="O322" i="1"/>
  <c r="N322" i="1"/>
  <c r="M322" i="1"/>
  <c r="J322" i="1"/>
  <c r="I322" i="1"/>
  <c r="H322" i="1"/>
  <c r="T321" i="1"/>
  <c r="P321" i="1"/>
  <c r="O321" i="1"/>
  <c r="N321" i="1"/>
  <c r="I321" i="1"/>
  <c r="M321" i="1" s="1"/>
  <c r="T320" i="1"/>
  <c r="P320" i="1"/>
  <c r="O320" i="1"/>
  <c r="N320" i="1"/>
  <c r="J320" i="1"/>
  <c r="M320" i="1" s="1"/>
  <c r="T319" i="1"/>
  <c r="P319" i="1"/>
  <c r="O319" i="1"/>
  <c r="N319" i="1"/>
  <c r="H319" i="1"/>
  <c r="I319" i="1" s="1"/>
  <c r="M319" i="1" s="1"/>
  <c r="T318" i="1"/>
  <c r="P318" i="1"/>
  <c r="J318" i="1"/>
  <c r="H318" i="1"/>
  <c r="H315" i="1" s="1"/>
  <c r="T317" i="1"/>
  <c r="P317" i="1"/>
  <c r="O317" i="1"/>
  <c r="N317" i="1"/>
  <c r="L317" i="1"/>
  <c r="I317" i="1"/>
  <c r="M317" i="1" s="1"/>
  <c r="T316" i="1"/>
  <c r="P316" i="1"/>
  <c r="O316" i="1"/>
  <c r="N316" i="1"/>
  <c r="M316" i="1"/>
  <c r="I316" i="1"/>
  <c r="T315" i="1"/>
  <c r="L315" i="1"/>
  <c r="K315" i="1"/>
  <c r="G315" i="1"/>
  <c r="T314" i="1"/>
  <c r="P314" i="1"/>
  <c r="O314" i="1"/>
  <c r="N314" i="1"/>
  <c r="M314" i="1"/>
  <c r="T313" i="1"/>
  <c r="P313" i="1"/>
  <c r="O313" i="1"/>
  <c r="N313" i="1"/>
  <c r="I313" i="1"/>
  <c r="M313" i="1" s="1"/>
  <c r="T312" i="1"/>
  <c r="P312" i="1"/>
  <c r="O312" i="1"/>
  <c r="N312" i="1"/>
  <c r="I312" i="1"/>
  <c r="M312" i="1" s="1"/>
  <c r="T311" i="1"/>
  <c r="P311" i="1"/>
  <c r="J311" i="1"/>
  <c r="I311" i="1"/>
  <c r="I308" i="1" s="1"/>
  <c r="H311" i="1"/>
  <c r="T310" i="1"/>
  <c r="P310" i="1"/>
  <c r="J310" i="1"/>
  <c r="I310" i="1"/>
  <c r="T309" i="1"/>
  <c r="P309" i="1"/>
  <c r="O309" i="1"/>
  <c r="N309" i="1"/>
  <c r="M309" i="1"/>
  <c r="T308" i="1"/>
  <c r="L308" i="1"/>
  <c r="L307" i="1" s="1"/>
  <c r="L306" i="1" s="1"/>
  <c r="K308" i="1"/>
  <c r="H308" i="1"/>
  <c r="G308" i="1"/>
  <c r="T307" i="1"/>
  <c r="K307" i="1"/>
  <c r="G307" i="1"/>
  <c r="G306" i="1" s="1"/>
  <c r="T306" i="1"/>
  <c r="T305" i="1"/>
  <c r="P305" i="1"/>
  <c r="O305" i="1"/>
  <c r="N305" i="1"/>
  <c r="M305" i="1"/>
  <c r="T304" i="1"/>
  <c r="L304" i="1"/>
  <c r="K304" i="1"/>
  <c r="J304" i="1"/>
  <c r="G304" i="1"/>
  <c r="P304" i="1" s="1"/>
  <c r="T303" i="1"/>
  <c r="L303" i="1"/>
  <c r="K303" i="1"/>
  <c r="I303" i="1"/>
  <c r="H303" i="1"/>
  <c r="T302" i="1"/>
  <c r="P302" i="1"/>
  <c r="O302" i="1"/>
  <c r="J302" i="1"/>
  <c r="N302" i="1" s="1"/>
  <c r="H302" i="1"/>
  <c r="T301" i="1"/>
  <c r="P301" i="1"/>
  <c r="M301" i="1"/>
  <c r="J301" i="1"/>
  <c r="I301" i="1"/>
  <c r="H301" i="1"/>
  <c r="T300" i="1"/>
  <c r="P300" i="1"/>
  <c r="O300" i="1"/>
  <c r="N300" i="1"/>
  <c r="M300" i="1"/>
  <c r="T299" i="1"/>
  <c r="P299" i="1"/>
  <c r="O299" i="1"/>
  <c r="N299" i="1"/>
  <c r="M299" i="1"/>
  <c r="L299" i="1"/>
  <c r="T298" i="1"/>
  <c r="P298" i="1"/>
  <c r="O298" i="1"/>
  <c r="N298" i="1"/>
  <c r="M298" i="1"/>
  <c r="T297" i="1"/>
  <c r="L297" i="1"/>
  <c r="K297" i="1"/>
  <c r="G297" i="1"/>
  <c r="T296" i="1"/>
  <c r="L296" i="1"/>
  <c r="K296" i="1"/>
  <c r="T295" i="1"/>
  <c r="P295" i="1"/>
  <c r="O295" i="1"/>
  <c r="N295" i="1"/>
  <c r="M295" i="1"/>
  <c r="T294" i="1"/>
  <c r="P294" i="1"/>
  <c r="O294" i="1"/>
  <c r="N294" i="1"/>
  <c r="M294" i="1"/>
  <c r="T293" i="1"/>
  <c r="P293" i="1"/>
  <c r="O293" i="1"/>
  <c r="N293" i="1"/>
  <c r="M293" i="1"/>
  <c r="T292" i="1"/>
  <c r="P292" i="1"/>
  <c r="O292" i="1"/>
  <c r="N292" i="1"/>
  <c r="M292" i="1"/>
  <c r="T291" i="1"/>
  <c r="P291" i="1"/>
  <c r="O291" i="1"/>
  <c r="N291" i="1"/>
  <c r="M291" i="1"/>
  <c r="T290" i="1"/>
  <c r="M290" i="1"/>
  <c r="L290" i="1"/>
  <c r="L289" i="1" s="1"/>
  <c r="K290" i="1"/>
  <c r="J290" i="1"/>
  <c r="N290" i="1" s="1"/>
  <c r="I290" i="1"/>
  <c r="H290" i="1"/>
  <c r="G290" i="1"/>
  <c r="G289" i="1" s="1"/>
  <c r="T289" i="1"/>
  <c r="K289" i="1"/>
  <c r="O289" i="1" s="1"/>
  <c r="J289" i="1"/>
  <c r="I289" i="1"/>
  <c r="H289" i="1"/>
  <c r="T288" i="1"/>
  <c r="P288" i="1"/>
  <c r="O288" i="1"/>
  <c r="N288" i="1"/>
  <c r="M288" i="1"/>
  <c r="T287" i="1"/>
  <c r="P287" i="1"/>
  <c r="O287" i="1"/>
  <c r="N287" i="1"/>
  <c r="M287" i="1"/>
  <c r="L287" i="1"/>
  <c r="K287" i="1"/>
  <c r="J287" i="1"/>
  <c r="J286" i="1" s="1"/>
  <c r="I287" i="1"/>
  <c r="I286" i="1" s="1"/>
  <c r="H287" i="1"/>
  <c r="H286" i="1" s="1"/>
  <c r="G287" i="1"/>
  <c r="T286" i="1"/>
  <c r="O286" i="1"/>
  <c r="M286" i="1"/>
  <c r="L286" i="1"/>
  <c r="L285" i="1" s="1"/>
  <c r="K286" i="1"/>
  <c r="G286" i="1"/>
  <c r="T285" i="1"/>
  <c r="T284" i="1"/>
  <c r="P284" i="1"/>
  <c r="O284" i="1"/>
  <c r="N284" i="1"/>
  <c r="M284" i="1"/>
  <c r="T283" i="1"/>
  <c r="P283" i="1"/>
  <c r="O283" i="1"/>
  <c r="N283" i="1"/>
  <c r="M283" i="1"/>
  <c r="T282" i="1"/>
  <c r="P282" i="1"/>
  <c r="O282" i="1"/>
  <c r="N282" i="1"/>
  <c r="M282" i="1"/>
  <c r="T281" i="1"/>
  <c r="P281" i="1"/>
  <c r="O281" i="1"/>
  <c r="N281" i="1"/>
  <c r="M281" i="1"/>
  <c r="T280" i="1"/>
  <c r="P280" i="1"/>
  <c r="O280" i="1"/>
  <c r="N280" i="1"/>
  <c r="M280" i="1"/>
  <c r="T279" i="1"/>
  <c r="P279" i="1"/>
  <c r="O279" i="1"/>
  <c r="N279" i="1"/>
  <c r="M279" i="1"/>
  <c r="T278" i="1"/>
  <c r="P278" i="1"/>
  <c r="O278" i="1"/>
  <c r="N278" i="1"/>
  <c r="M278" i="1"/>
  <c r="T277" i="1"/>
  <c r="P277" i="1"/>
  <c r="O277" i="1"/>
  <c r="N277" i="1"/>
  <c r="M277" i="1"/>
  <c r="T276" i="1"/>
  <c r="P276" i="1"/>
  <c r="O276" i="1"/>
  <c r="N276" i="1"/>
  <c r="M276" i="1"/>
  <c r="T275" i="1"/>
  <c r="P275" i="1"/>
  <c r="O275" i="1"/>
  <c r="N275" i="1"/>
  <c r="M275" i="1"/>
  <c r="T274" i="1"/>
  <c r="P274" i="1"/>
  <c r="O274" i="1"/>
  <c r="N274" i="1"/>
  <c r="M274" i="1"/>
  <c r="T273" i="1"/>
  <c r="P273" i="1"/>
  <c r="O273" i="1"/>
  <c r="N273" i="1"/>
  <c r="M273" i="1"/>
  <c r="T272" i="1"/>
  <c r="P272" i="1"/>
  <c r="O272" i="1"/>
  <c r="N272" i="1"/>
  <c r="M272" i="1"/>
  <c r="T271" i="1"/>
  <c r="P271" i="1"/>
  <c r="O271" i="1"/>
  <c r="N271" i="1"/>
  <c r="M271" i="1"/>
  <c r="T270" i="1"/>
  <c r="P270" i="1"/>
  <c r="O270" i="1"/>
  <c r="N270" i="1"/>
  <c r="M270" i="1"/>
  <c r="T269" i="1"/>
  <c r="P269" i="1"/>
  <c r="O269" i="1"/>
  <c r="N269" i="1"/>
  <c r="M269" i="1"/>
  <c r="T268" i="1"/>
  <c r="P268" i="1"/>
  <c r="O268" i="1"/>
  <c r="N268" i="1"/>
  <c r="M268" i="1"/>
  <c r="T267" i="1"/>
  <c r="P267" i="1"/>
  <c r="O267" i="1"/>
  <c r="N267" i="1"/>
  <c r="M267" i="1"/>
  <c r="T266" i="1"/>
  <c r="P266" i="1"/>
  <c r="O266" i="1"/>
  <c r="N266" i="1"/>
  <c r="M266" i="1"/>
  <c r="T265" i="1"/>
  <c r="P265" i="1"/>
  <c r="O265" i="1"/>
  <c r="N265" i="1"/>
  <c r="M265" i="1"/>
  <c r="T264" i="1"/>
  <c r="P264" i="1"/>
  <c r="O264" i="1"/>
  <c r="N264" i="1"/>
  <c r="L264" i="1"/>
  <c r="K264" i="1"/>
  <c r="J264" i="1"/>
  <c r="M264" i="1" s="1"/>
  <c r="I264" i="1"/>
  <c r="H264" i="1"/>
  <c r="G264" i="1"/>
  <c r="T263" i="1"/>
  <c r="P263" i="1"/>
  <c r="O263" i="1"/>
  <c r="N263" i="1"/>
  <c r="N257" i="1" s="1"/>
  <c r="N256" i="1" s="1"/>
  <c r="N255" i="1" s="1"/>
  <c r="M263" i="1"/>
  <c r="M257" i="1" s="1"/>
  <c r="M256" i="1" s="1"/>
  <c r="M255" i="1" s="1"/>
  <c r="T262" i="1"/>
  <c r="P262" i="1"/>
  <c r="O262" i="1"/>
  <c r="N262" i="1"/>
  <c r="M262" i="1"/>
  <c r="T261" i="1"/>
  <c r="P261" i="1"/>
  <c r="O261" i="1"/>
  <c r="N261" i="1"/>
  <c r="M261" i="1"/>
  <c r="T260" i="1"/>
  <c r="P260" i="1"/>
  <c r="O260" i="1"/>
  <c r="N260" i="1"/>
  <c r="M260" i="1"/>
  <c r="T259" i="1"/>
  <c r="P259" i="1"/>
  <c r="O259" i="1"/>
  <c r="N259" i="1"/>
  <c r="M259" i="1"/>
  <c r="T258" i="1"/>
  <c r="P258" i="1"/>
  <c r="O258" i="1"/>
  <c r="N258" i="1"/>
  <c r="M258" i="1"/>
  <c r="T257" i="1"/>
  <c r="L257" i="1"/>
  <c r="K257" i="1"/>
  <c r="P257" i="1" s="1"/>
  <c r="J257" i="1"/>
  <c r="O257" i="1" s="1"/>
  <c r="I257" i="1"/>
  <c r="I256" i="1" s="1"/>
  <c r="I255" i="1" s="1"/>
  <c r="H257" i="1"/>
  <c r="H256" i="1" s="1"/>
  <c r="H255" i="1" s="1"/>
  <c r="G257" i="1"/>
  <c r="U256" i="1"/>
  <c r="U257" i="1" s="1"/>
  <c r="T256" i="1"/>
  <c r="L256" i="1"/>
  <c r="K256" i="1"/>
  <c r="P256" i="1" s="1"/>
  <c r="G256" i="1"/>
  <c r="U255" i="1"/>
  <c r="T255" i="1"/>
  <c r="L255" i="1"/>
  <c r="K255" i="1"/>
  <c r="P255" i="1" s="1"/>
  <c r="G255" i="1"/>
  <c r="T254" i="1"/>
  <c r="P254" i="1"/>
  <c r="O254" i="1"/>
  <c r="N254" i="1"/>
  <c r="I254" i="1"/>
  <c r="M254" i="1" s="1"/>
  <c r="T253" i="1"/>
  <c r="P253" i="1"/>
  <c r="O253" i="1"/>
  <c r="N253" i="1"/>
  <c r="M253" i="1"/>
  <c r="I253" i="1"/>
  <c r="T252" i="1"/>
  <c r="P252" i="1"/>
  <c r="O252" i="1"/>
  <c r="N252" i="1"/>
  <c r="M252" i="1"/>
  <c r="T251" i="1"/>
  <c r="P251" i="1"/>
  <c r="O251" i="1"/>
  <c r="N251" i="1"/>
  <c r="M251" i="1"/>
  <c r="J251" i="1"/>
  <c r="H251" i="1"/>
  <c r="I251" i="1" s="1"/>
  <c r="T250" i="1"/>
  <c r="P250" i="1"/>
  <c r="O250" i="1"/>
  <c r="N250" i="1"/>
  <c r="M250" i="1"/>
  <c r="T249" i="1"/>
  <c r="P249" i="1"/>
  <c r="O249" i="1"/>
  <c r="N249" i="1"/>
  <c r="M249" i="1"/>
  <c r="H249" i="1"/>
  <c r="I249" i="1" s="1"/>
  <c r="J249" i="1" s="1"/>
  <c r="T248" i="1"/>
  <c r="P248" i="1"/>
  <c r="O248" i="1"/>
  <c r="N248" i="1"/>
  <c r="L248" i="1"/>
  <c r="I248" i="1"/>
  <c r="M248" i="1" s="1"/>
  <c r="H248" i="1"/>
  <c r="T247" i="1"/>
  <c r="P247" i="1"/>
  <c r="H247" i="1"/>
  <c r="I247" i="1" s="1"/>
  <c r="J247" i="1" s="1"/>
  <c r="T246" i="1"/>
  <c r="P246" i="1"/>
  <c r="O246" i="1"/>
  <c r="N246" i="1"/>
  <c r="H246" i="1"/>
  <c r="I246" i="1" s="1"/>
  <c r="M246" i="1" s="1"/>
  <c r="T245" i="1"/>
  <c r="P245" i="1"/>
  <c r="O245" i="1"/>
  <c r="J245" i="1"/>
  <c r="N245" i="1" s="1"/>
  <c r="H245" i="1"/>
  <c r="I245" i="1" s="1"/>
  <c r="T244" i="1"/>
  <c r="P244" i="1"/>
  <c r="O244" i="1"/>
  <c r="N244" i="1"/>
  <c r="H244" i="1"/>
  <c r="T243" i="1"/>
  <c r="L243" i="1"/>
  <c r="L242" i="1" s="1"/>
  <c r="K243" i="1"/>
  <c r="G243" i="1"/>
  <c r="G242" i="1" s="1"/>
  <c r="G227" i="1" s="1"/>
  <c r="T242" i="1"/>
  <c r="T241" i="1"/>
  <c r="P241" i="1"/>
  <c r="J241" i="1"/>
  <c r="I241" i="1"/>
  <c r="I240" i="1" s="1"/>
  <c r="I239" i="1" s="1"/>
  <c r="H241" i="1"/>
  <c r="T240" i="1"/>
  <c r="L240" i="1"/>
  <c r="L239" i="1" s="1"/>
  <c r="K240" i="1"/>
  <c r="P240" i="1" s="1"/>
  <c r="H240" i="1"/>
  <c r="H239" i="1" s="1"/>
  <c r="G240" i="1"/>
  <c r="T239" i="1"/>
  <c r="K239" i="1"/>
  <c r="G239" i="1"/>
  <c r="P239" i="1" s="1"/>
  <c r="T238" i="1"/>
  <c r="P238" i="1"/>
  <c r="O238" i="1"/>
  <c r="N238" i="1"/>
  <c r="M238" i="1"/>
  <c r="T237" i="1"/>
  <c r="P237" i="1"/>
  <c r="O237" i="1"/>
  <c r="N237" i="1"/>
  <c r="M237" i="1"/>
  <c r="T236" i="1"/>
  <c r="P236" i="1"/>
  <c r="O236" i="1"/>
  <c r="N236" i="1"/>
  <c r="M236" i="1"/>
  <c r="T235" i="1"/>
  <c r="P235" i="1"/>
  <c r="O235" i="1"/>
  <c r="N235" i="1"/>
  <c r="M235" i="1"/>
  <c r="T234" i="1"/>
  <c r="P234" i="1"/>
  <c r="O234" i="1"/>
  <c r="N234" i="1"/>
  <c r="M234" i="1"/>
  <c r="U233" i="1"/>
  <c r="T233" i="1"/>
  <c r="P233" i="1"/>
  <c r="J233" i="1"/>
  <c r="H233" i="1"/>
  <c r="I233" i="1" s="1"/>
  <c r="I232" i="1" s="1"/>
  <c r="I231" i="1" s="1"/>
  <c r="T232" i="1"/>
  <c r="P232" i="1"/>
  <c r="L232" i="1"/>
  <c r="K232" i="1"/>
  <c r="H232" i="1"/>
  <c r="H231" i="1" s="1"/>
  <c r="G232" i="1"/>
  <c r="U231" i="1"/>
  <c r="T231" i="1"/>
  <c r="P231" i="1"/>
  <c r="L231" i="1"/>
  <c r="K231" i="1"/>
  <c r="G231" i="1"/>
  <c r="T230" i="1"/>
  <c r="P230" i="1"/>
  <c r="O230" i="1"/>
  <c r="N230" i="1"/>
  <c r="M230" i="1"/>
  <c r="I230" i="1"/>
  <c r="H230" i="1"/>
  <c r="T229" i="1"/>
  <c r="L229" i="1"/>
  <c r="K229" i="1"/>
  <c r="P229" i="1" s="1"/>
  <c r="J229" i="1"/>
  <c r="I229" i="1"/>
  <c r="I228" i="1" s="1"/>
  <c r="H229" i="1"/>
  <c r="H228" i="1" s="1"/>
  <c r="G229" i="1"/>
  <c r="U228" i="1"/>
  <c r="U229" i="1" s="1"/>
  <c r="T228" i="1"/>
  <c r="L228" i="1"/>
  <c r="G228" i="1"/>
  <c r="T227" i="1"/>
  <c r="T226" i="1"/>
  <c r="P226" i="1"/>
  <c r="O226" i="1"/>
  <c r="N226" i="1"/>
  <c r="M226" i="1"/>
  <c r="T225" i="1"/>
  <c r="P225" i="1"/>
  <c r="O225" i="1"/>
  <c r="N225" i="1"/>
  <c r="M225" i="1"/>
  <c r="T224" i="1"/>
  <c r="P224" i="1"/>
  <c r="O224" i="1"/>
  <c r="N224" i="1"/>
  <c r="M224" i="1"/>
  <c r="T223" i="1"/>
  <c r="P223" i="1"/>
  <c r="O223" i="1"/>
  <c r="N223" i="1"/>
  <c r="M223" i="1"/>
  <c r="T222" i="1"/>
  <c r="P222" i="1"/>
  <c r="O222" i="1"/>
  <c r="N222" i="1"/>
  <c r="M222" i="1"/>
  <c r="T221" i="1"/>
  <c r="P221" i="1"/>
  <c r="O221" i="1"/>
  <c r="N221" i="1"/>
  <c r="M221" i="1"/>
  <c r="T220" i="1"/>
  <c r="P220" i="1"/>
  <c r="O220" i="1"/>
  <c r="N220" i="1"/>
  <c r="M220" i="1"/>
  <c r="T219" i="1"/>
  <c r="P219" i="1"/>
  <c r="O219" i="1"/>
  <c r="N219" i="1"/>
  <c r="M219" i="1"/>
  <c r="H219" i="1"/>
  <c r="T218" i="1"/>
  <c r="P218" i="1"/>
  <c r="J218" i="1"/>
  <c r="O218" i="1" s="1"/>
  <c r="I218" i="1"/>
  <c r="M218" i="1" s="1"/>
  <c r="H218" i="1"/>
  <c r="T217" i="1"/>
  <c r="P217" i="1"/>
  <c r="O217" i="1"/>
  <c r="N217" i="1"/>
  <c r="J217" i="1"/>
  <c r="M217" i="1" s="1"/>
  <c r="I217" i="1"/>
  <c r="T216" i="1"/>
  <c r="P216" i="1"/>
  <c r="O216" i="1"/>
  <c r="N216" i="1"/>
  <c r="L216" i="1"/>
  <c r="I216" i="1"/>
  <c r="J216" i="1" s="1"/>
  <c r="M216" i="1" s="1"/>
  <c r="H216" i="1"/>
  <c r="T215" i="1"/>
  <c r="P215" i="1"/>
  <c r="O215" i="1"/>
  <c r="N215" i="1"/>
  <c r="I215" i="1"/>
  <c r="M215" i="1" s="1"/>
  <c r="H215" i="1"/>
  <c r="T214" i="1"/>
  <c r="P214" i="1"/>
  <c r="M214" i="1"/>
  <c r="I214" i="1"/>
  <c r="J214" i="1" s="1"/>
  <c r="T213" i="1"/>
  <c r="P213" i="1"/>
  <c r="O213" i="1"/>
  <c r="N213" i="1"/>
  <c r="M213" i="1"/>
  <c r="H213" i="1"/>
  <c r="T212" i="1"/>
  <c r="P212" i="1"/>
  <c r="H212" i="1"/>
  <c r="T211" i="1"/>
  <c r="P211" i="1"/>
  <c r="L211" i="1"/>
  <c r="L210" i="1" s="1"/>
  <c r="K211" i="1"/>
  <c r="K210" i="1" s="1"/>
  <c r="G211" i="1"/>
  <c r="T210" i="1"/>
  <c r="P210" i="1"/>
  <c r="G210" i="1"/>
  <c r="T209" i="1"/>
  <c r="P209" i="1"/>
  <c r="O209" i="1"/>
  <c r="N209" i="1"/>
  <c r="M209" i="1"/>
  <c r="J209" i="1"/>
  <c r="T208" i="1"/>
  <c r="P208" i="1"/>
  <c r="O208" i="1"/>
  <c r="N208" i="1"/>
  <c r="J208" i="1"/>
  <c r="M208" i="1" s="1"/>
  <c r="T207" i="1"/>
  <c r="P207" i="1"/>
  <c r="O207" i="1"/>
  <c r="N207" i="1"/>
  <c r="M207" i="1"/>
  <c r="J207" i="1"/>
  <c r="T206" i="1"/>
  <c r="P206" i="1"/>
  <c r="O206" i="1"/>
  <c r="N206" i="1"/>
  <c r="J206" i="1"/>
  <c r="M206" i="1" s="1"/>
  <c r="T205" i="1"/>
  <c r="P205" i="1"/>
  <c r="O205" i="1"/>
  <c r="N205" i="1"/>
  <c r="M205" i="1"/>
  <c r="H205" i="1"/>
  <c r="I205" i="1" s="1"/>
  <c r="J205" i="1" s="1"/>
  <c r="J201" i="1" s="1"/>
  <c r="T204" i="1"/>
  <c r="P204" i="1"/>
  <c r="O204" i="1"/>
  <c r="N204" i="1"/>
  <c r="H204" i="1"/>
  <c r="I204" i="1" s="1"/>
  <c r="M204" i="1" s="1"/>
  <c r="T203" i="1"/>
  <c r="P203" i="1"/>
  <c r="O203" i="1"/>
  <c r="N203" i="1"/>
  <c r="H203" i="1"/>
  <c r="I203" i="1" s="1"/>
  <c r="T202" i="1"/>
  <c r="P202" i="1"/>
  <c r="O202" i="1"/>
  <c r="N202" i="1"/>
  <c r="M202" i="1"/>
  <c r="H202" i="1"/>
  <c r="T201" i="1"/>
  <c r="L201" i="1"/>
  <c r="L200" i="1" s="1"/>
  <c r="K201" i="1"/>
  <c r="P201" i="1" s="1"/>
  <c r="G201" i="1"/>
  <c r="T200" i="1"/>
  <c r="K200" i="1"/>
  <c r="G200" i="1"/>
  <c r="P200" i="1" s="1"/>
  <c r="T199" i="1"/>
  <c r="P199" i="1"/>
  <c r="I199" i="1"/>
  <c r="I198" i="1" s="1"/>
  <c r="T198" i="1"/>
  <c r="L198" i="1"/>
  <c r="K198" i="1"/>
  <c r="H198" i="1"/>
  <c r="G198" i="1"/>
  <c r="T197" i="1"/>
  <c r="P197" i="1"/>
  <c r="J197" i="1"/>
  <c r="I197" i="1"/>
  <c r="I196" i="1" s="1"/>
  <c r="T196" i="1"/>
  <c r="P196" i="1"/>
  <c r="L196" i="1"/>
  <c r="K196" i="1"/>
  <c r="H196" i="1"/>
  <c r="G196" i="1"/>
  <c r="G182" i="1" s="1"/>
  <c r="T195" i="1"/>
  <c r="P195" i="1"/>
  <c r="O195" i="1"/>
  <c r="N195" i="1"/>
  <c r="M195" i="1"/>
  <c r="T194" i="1"/>
  <c r="P194" i="1"/>
  <c r="O194" i="1"/>
  <c r="N194" i="1"/>
  <c r="M194" i="1"/>
  <c r="T193" i="1"/>
  <c r="P193" i="1"/>
  <c r="O193" i="1"/>
  <c r="N193" i="1"/>
  <c r="J193" i="1"/>
  <c r="H193" i="1"/>
  <c r="I193" i="1" s="1"/>
  <c r="M193" i="1" s="1"/>
  <c r="T192" i="1"/>
  <c r="P192" i="1"/>
  <c r="I192" i="1"/>
  <c r="J192" i="1" s="1"/>
  <c r="T191" i="1"/>
  <c r="P191" i="1"/>
  <c r="O191" i="1"/>
  <c r="J191" i="1"/>
  <c r="N191" i="1" s="1"/>
  <c r="I191" i="1"/>
  <c r="M191" i="1" s="1"/>
  <c r="T190" i="1"/>
  <c r="P190" i="1"/>
  <c r="J190" i="1"/>
  <c r="O190" i="1" s="1"/>
  <c r="I190" i="1"/>
  <c r="T189" i="1"/>
  <c r="P189" i="1"/>
  <c r="I189" i="1"/>
  <c r="J189" i="1" s="1"/>
  <c r="T188" i="1"/>
  <c r="P188" i="1"/>
  <c r="O188" i="1"/>
  <c r="N188" i="1"/>
  <c r="M188" i="1"/>
  <c r="H188" i="1"/>
  <c r="I188" i="1" s="1"/>
  <c r="T187" i="1"/>
  <c r="P187" i="1"/>
  <c r="O187" i="1"/>
  <c r="I187" i="1"/>
  <c r="J187" i="1" s="1"/>
  <c r="T186" i="1"/>
  <c r="P186" i="1"/>
  <c r="O186" i="1"/>
  <c r="N186" i="1"/>
  <c r="M186" i="1"/>
  <c r="I186" i="1"/>
  <c r="T185" i="1"/>
  <c r="P185" i="1"/>
  <c r="J185" i="1"/>
  <c r="I185" i="1"/>
  <c r="T184" i="1"/>
  <c r="P184" i="1"/>
  <c r="I184" i="1"/>
  <c r="T183" i="1"/>
  <c r="L183" i="1"/>
  <c r="K183" i="1"/>
  <c r="G183" i="1"/>
  <c r="T182" i="1"/>
  <c r="L182" i="1"/>
  <c r="K182" i="1"/>
  <c r="T181" i="1"/>
  <c r="P181" i="1"/>
  <c r="O181" i="1"/>
  <c r="N181" i="1"/>
  <c r="M181" i="1"/>
  <c r="T180" i="1"/>
  <c r="P180" i="1"/>
  <c r="O180" i="1"/>
  <c r="N180" i="1"/>
  <c r="M180" i="1"/>
  <c r="T179" i="1"/>
  <c r="P179" i="1"/>
  <c r="N179" i="1"/>
  <c r="J179" i="1"/>
  <c r="M179" i="1" s="1"/>
  <c r="I179" i="1"/>
  <c r="H179" i="1"/>
  <c r="T178" i="1"/>
  <c r="P178" i="1"/>
  <c r="O178" i="1"/>
  <c r="J178" i="1"/>
  <c r="N178" i="1" s="1"/>
  <c r="H178" i="1"/>
  <c r="I178" i="1" s="1"/>
  <c r="M178" i="1" s="1"/>
  <c r="T177" i="1"/>
  <c r="P177" i="1"/>
  <c r="O177" i="1"/>
  <c r="N177" i="1"/>
  <c r="H177" i="1"/>
  <c r="I177" i="1" s="1"/>
  <c r="M177" i="1" s="1"/>
  <c r="T176" i="1"/>
  <c r="P176" i="1"/>
  <c r="J176" i="1"/>
  <c r="O176" i="1" s="1"/>
  <c r="H176" i="1"/>
  <c r="I176" i="1" s="1"/>
  <c r="M176" i="1" s="1"/>
  <c r="T175" i="1"/>
  <c r="P175" i="1"/>
  <c r="O175" i="1"/>
  <c r="N175" i="1"/>
  <c r="I175" i="1"/>
  <c r="M175" i="1" s="1"/>
  <c r="H175" i="1"/>
  <c r="T174" i="1"/>
  <c r="P174" i="1"/>
  <c r="J174" i="1"/>
  <c r="I174" i="1"/>
  <c r="H174" i="1"/>
  <c r="T173" i="1"/>
  <c r="L173" i="1"/>
  <c r="L172" i="1" s="1"/>
  <c r="K173" i="1"/>
  <c r="P173" i="1" s="1"/>
  <c r="G173" i="1"/>
  <c r="T172" i="1"/>
  <c r="K172" i="1"/>
  <c r="G172" i="1"/>
  <c r="U171" i="1"/>
  <c r="T171" i="1"/>
  <c r="P171" i="1"/>
  <c r="O171" i="1"/>
  <c r="N171" i="1"/>
  <c r="M171" i="1"/>
  <c r="T170" i="1"/>
  <c r="P170" i="1"/>
  <c r="J170" i="1"/>
  <c r="I170" i="1"/>
  <c r="T169" i="1"/>
  <c r="P169" i="1"/>
  <c r="O169" i="1"/>
  <c r="N169" i="1"/>
  <c r="L169" i="1"/>
  <c r="I169" i="1"/>
  <c r="M169" i="1" s="1"/>
  <c r="H169" i="1"/>
  <c r="T168" i="1"/>
  <c r="P168" i="1"/>
  <c r="N168" i="1"/>
  <c r="J168" i="1"/>
  <c r="O168" i="1" s="1"/>
  <c r="H168" i="1"/>
  <c r="I168" i="1" s="1"/>
  <c r="T167" i="1"/>
  <c r="P167" i="1"/>
  <c r="O167" i="1"/>
  <c r="J167" i="1"/>
  <c r="N167" i="1" s="1"/>
  <c r="H167" i="1"/>
  <c r="I167" i="1" s="1"/>
  <c r="T166" i="1"/>
  <c r="P166" i="1"/>
  <c r="O166" i="1"/>
  <c r="N166" i="1"/>
  <c r="M166" i="1"/>
  <c r="T165" i="1"/>
  <c r="P165" i="1"/>
  <c r="O165" i="1"/>
  <c r="N165" i="1"/>
  <c r="I165" i="1"/>
  <c r="M165" i="1" s="1"/>
  <c r="H165" i="1"/>
  <c r="H162" i="1" s="1"/>
  <c r="H161" i="1" s="1"/>
  <c r="T164" i="1"/>
  <c r="P164" i="1"/>
  <c r="J164" i="1"/>
  <c r="I164" i="1"/>
  <c r="H164" i="1"/>
  <c r="T163" i="1"/>
  <c r="P163" i="1"/>
  <c r="O163" i="1"/>
  <c r="N163" i="1"/>
  <c r="I163" i="1"/>
  <c r="I162" i="1" s="1"/>
  <c r="I161" i="1" s="1"/>
  <c r="T162" i="1"/>
  <c r="L162" i="1"/>
  <c r="K162" i="1"/>
  <c r="P162" i="1" s="1"/>
  <c r="G162" i="1"/>
  <c r="T161" i="1"/>
  <c r="L161" i="1"/>
  <c r="K161" i="1"/>
  <c r="G161" i="1"/>
  <c r="T160" i="1"/>
  <c r="P160" i="1"/>
  <c r="J160" i="1"/>
  <c r="O160" i="1" s="1"/>
  <c r="I160" i="1"/>
  <c r="H160" i="1"/>
  <c r="T159" i="1"/>
  <c r="P159" i="1"/>
  <c r="O159" i="1"/>
  <c r="N159" i="1"/>
  <c r="M159" i="1"/>
  <c r="I159" i="1"/>
  <c r="T158" i="1"/>
  <c r="P158" i="1"/>
  <c r="O158" i="1"/>
  <c r="N158" i="1"/>
  <c r="M158" i="1"/>
  <c r="I158" i="1"/>
  <c r="T157" i="1"/>
  <c r="P157" i="1"/>
  <c r="O157" i="1"/>
  <c r="N157" i="1"/>
  <c r="M157" i="1"/>
  <c r="I157" i="1"/>
  <c r="T156" i="1"/>
  <c r="P156" i="1"/>
  <c r="O156" i="1"/>
  <c r="N156" i="1"/>
  <c r="M156" i="1"/>
  <c r="I156" i="1"/>
  <c r="T155" i="1"/>
  <c r="P155" i="1"/>
  <c r="O155" i="1"/>
  <c r="N155" i="1"/>
  <c r="M155" i="1"/>
  <c r="I155" i="1"/>
  <c r="I152" i="1" s="1"/>
  <c r="I151" i="1" s="1"/>
  <c r="T154" i="1"/>
  <c r="P154" i="1"/>
  <c r="M154" i="1"/>
  <c r="J154" i="1"/>
  <c r="O154" i="1" s="1"/>
  <c r="I154" i="1"/>
  <c r="H154" i="1"/>
  <c r="V153" i="1"/>
  <c r="T153" i="1"/>
  <c r="P153" i="1"/>
  <c r="O153" i="1"/>
  <c r="J153" i="1"/>
  <c r="N153" i="1" s="1"/>
  <c r="I153" i="1"/>
  <c r="H153" i="1"/>
  <c r="H152" i="1" s="1"/>
  <c r="H151" i="1" s="1"/>
  <c r="T152" i="1"/>
  <c r="N152" i="1"/>
  <c r="M152" i="1"/>
  <c r="L152" i="1"/>
  <c r="K152" i="1"/>
  <c r="J152" i="1"/>
  <c r="G152" i="1"/>
  <c r="V151" i="1"/>
  <c r="T151" i="1"/>
  <c r="N151" i="1"/>
  <c r="M151" i="1"/>
  <c r="L151" i="1"/>
  <c r="K151" i="1"/>
  <c r="J151" i="1"/>
  <c r="G151" i="1"/>
  <c r="T150" i="1"/>
  <c r="P150" i="1"/>
  <c r="I150" i="1"/>
  <c r="J150" i="1" s="1"/>
  <c r="T149" i="1"/>
  <c r="P149" i="1"/>
  <c r="J149" i="1"/>
  <c r="I149" i="1"/>
  <c r="P148" i="1"/>
  <c r="N148" i="1"/>
  <c r="J148" i="1"/>
  <c r="O148" i="1" s="1"/>
  <c r="T147" i="1"/>
  <c r="P147" i="1"/>
  <c r="O147" i="1"/>
  <c r="N147" i="1"/>
  <c r="J147" i="1"/>
  <c r="I147" i="1"/>
  <c r="M147" i="1" s="1"/>
  <c r="T146" i="1"/>
  <c r="P146" i="1"/>
  <c r="J146" i="1"/>
  <c r="O146" i="1" s="1"/>
  <c r="I146" i="1"/>
  <c r="V145" i="1"/>
  <c r="T145" i="1"/>
  <c r="P145" i="1"/>
  <c r="O145" i="1"/>
  <c r="N145" i="1"/>
  <c r="M145" i="1"/>
  <c r="T144" i="1"/>
  <c r="P144" i="1"/>
  <c r="O144" i="1"/>
  <c r="N144" i="1"/>
  <c r="M144" i="1"/>
  <c r="J144" i="1"/>
  <c r="I144" i="1"/>
  <c r="V143" i="1"/>
  <c r="T143" i="1"/>
  <c r="P143" i="1"/>
  <c r="O143" i="1"/>
  <c r="N143" i="1"/>
  <c r="M143" i="1"/>
  <c r="T142" i="1"/>
  <c r="P142" i="1"/>
  <c r="O142" i="1"/>
  <c r="N142" i="1"/>
  <c r="M142" i="1"/>
  <c r="H142" i="1"/>
  <c r="I142" i="1" s="1"/>
  <c r="T141" i="1"/>
  <c r="P141" i="1"/>
  <c r="I141" i="1"/>
  <c r="J141" i="1" s="1"/>
  <c r="T140" i="1"/>
  <c r="P140" i="1"/>
  <c r="I140" i="1"/>
  <c r="J140" i="1" s="1"/>
  <c r="O140" i="1" s="1"/>
  <c r="T139" i="1"/>
  <c r="P139" i="1"/>
  <c r="I139" i="1"/>
  <c r="J139" i="1" s="1"/>
  <c r="H139" i="1"/>
  <c r="T138" i="1"/>
  <c r="P138" i="1"/>
  <c r="I138" i="1"/>
  <c r="J138" i="1" s="1"/>
  <c r="T137" i="1"/>
  <c r="P137" i="1"/>
  <c r="O137" i="1"/>
  <c r="N137" i="1"/>
  <c r="M137" i="1"/>
  <c r="H137" i="1"/>
  <c r="T136" i="1"/>
  <c r="P136" i="1"/>
  <c r="O136" i="1"/>
  <c r="N136" i="1"/>
  <c r="M136" i="1"/>
  <c r="H136" i="1"/>
  <c r="T135" i="1"/>
  <c r="P135" i="1"/>
  <c r="O135" i="1"/>
  <c r="N135" i="1"/>
  <c r="M135" i="1"/>
  <c r="H135" i="1"/>
  <c r="T134" i="1"/>
  <c r="L134" i="1"/>
  <c r="L133" i="1" s="1"/>
  <c r="K134" i="1"/>
  <c r="I134" i="1"/>
  <c r="I133" i="1" s="1"/>
  <c r="H134" i="1"/>
  <c r="H133" i="1" s="1"/>
  <c r="G134" i="1"/>
  <c r="G133" i="1" s="1"/>
  <c r="G132" i="1" s="1"/>
  <c r="T133" i="1"/>
  <c r="K133" i="1"/>
  <c r="U132" i="1"/>
  <c r="T132" i="1"/>
  <c r="T131" i="1"/>
  <c r="P131" i="1"/>
  <c r="J131" i="1"/>
  <c r="T130" i="1"/>
  <c r="H130" i="1"/>
  <c r="H131" i="1" s="1"/>
  <c r="I131" i="1" s="1"/>
  <c r="T129" i="1"/>
  <c r="L129" i="1"/>
  <c r="G129" i="1"/>
  <c r="T128" i="1"/>
  <c r="G128" i="1"/>
  <c r="P128" i="1" s="1"/>
  <c r="T127" i="1"/>
  <c r="H127" i="1"/>
  <c r="G127" i="1"/>
  <c r="G126" i="1" s="1"/>
  <c r="T126" i="1"/>
  <c r="L126" i="1"/>
  <c r="T125" i="1"/>
  <c r="P125" i="1"/>
  <c r="H125" i="1"/>
  <c r="I125" i="1" s="1"/>
  <c r="J125" i="1" s="1"/>
  <c r="G125" i="1"/>
  <c r="T124" i="1"/>
  <c r="G124" i="1"/>
  <c r="H124" i="1" s="1"/>
  <c r="T123" i="1"/>
  <c r="L123" i="1"/>
  <c r="G123" i="1"/>
  <c r="T122" i="1"/>
  <c r="P122" i="1"/>
  <c r="G122" i="1"/>
  <c r="H122" i="1" s="1"/>
  <c r="I122" i="1" s="1"/>
  <c r="J122" i="1" s="1"/>
  <c r="T121" i="1"/>
  <c r="G121" i="1"/>
  <c r="H121" i="1" s="1"/>
  <c r="T120" i="1"/>
  <c r="L120" i="1"/>
  <c r="G120" i="1"/>
  <c r="T119" i="1"/>
  <c r="P119" i="1"/>
  <c r="O119" i="1"/>
  <c r="G119" i="1"/>
  <c r="T118" i="1"/>
  <c r="G118" i="1"/>
  <c r="H118" i="1" s="1"/>
  <c r="T117" i="1"/>
  <c r="L117" i="1"/>
  <c r="T116" i="1"/>
  <c r="P116" i="1"/>
  <c r="O116" i="1"/>
  <c r="N116" i="1"/>
  <c r="M116" i="1"/>
  <c r="T115" i="1"/>
  <c r="P115" i="1"/>
  <c r="O115" i="1"/>
  <c r="N115" i="1"/>
  <c r="M115" i="1"/>
  <c r="T114" i="1"/>
  <c r="L114" i="1"/>
  <c r="K114" i="1"/>
  <c r="J114" i="1"/>
  <c r="I114" i="1"/>
  <c r="H114" i="1"/>
  <c r="G114" i="1"/>
  <c r="T113" i="1"/>
  <c r="L113" i="1"/>
  <c r="T112" i="1"/>
  <c r="P112" i="1"/>
  <c r="J112" i="1"/>
  <c r="O112" i="1" s="1"/>
  <c r="I112" i="1"/>
  <c r="T111" i="1"/>
  <c r="P111" i="1"/>
  <c r="J111" i="1"/>
  <c r="O111" i="1" s="1"/>
  <c r="I111" i="1"/>
  <c r="M111" i="1" s="1"/>
  <c r="H111" i="1"/>
  <c r="T110" i="1"/>
  <c r="P110" i="1"/>
  <c r="N110" i="1"/>
  <c r="J110" i="1"/>
  <c r="H110" i="1"/>
  <c r="I110" i="1" s="1"/>
  <c r="T109" i="1"/>
  <c r="P109" i="1"/>
  <c r="O109" i="1"/>
  <c r="J109" i="1"/>
  <c r="N109" i="1" s="1"/>
  <c r="I109" i="1"/>
  <c r="H109" i="1"/>
  <c r="T108" i="1"/>
  <c r="P108" i="1"/>
  <c r="N108" i="1"/>
  <c r="J108" i="1"/>
  <c r="I108" i="1"/>
  <c r="H108" i="1"/>
  <c r="T107" i="1"/>
  <c r="P107" i="1"/>
  <c r="N107" i="1"/>
  <c r="J107" i="1"/>
  <c r="H107" i="1"/>
  <c r="I107" i="1" s="1"/>
  <c r="T106" i="1"/>
  <c r="P106" i="1"/>
  <c r="O106" i="1"/>
  <c r="J106" i="1"/>
  <c r="N106" i="1" s="1"/>
  <c r="H106" i="1"/>
  <c r="T105" i="1"/>
  <c r="L105" i="1"/>
  <c r="K105" i="1"/>
  <c r="G105" i="1"/>
  <c r="U104" i="1"/>
  <c r="T104" i="1"/>
  <c r="P104" i="1"/>
  <c r="N104" i="1"/>
  <c r="J104" i="1"/>
  <c r="I104" i="1"/>
  <c r="H104" i="1"/>
  <c r="T103" i="1"/>
  <c r="P103" i="1"/>
  <c r="O103" i="1"/>
  <c r="N103" i="1"/>
  <c r="I103" i="1"/>
  <c r="M103" i="1" s="1"/>
  <c r="T102" i="1"/>
  <c r="P102" i="1"/>
  <c r="O102" i="1"/>
  <c r="N102" i="1"/>
  <c r="M102" i="1"/>
  <c r="I102" i="1"/>
  <c r="T101" i="1"/>
  <c r="P101" i="1"/>
  <c r="N101" i="1"/>
  <c r="L101" i="1"/>
  <c r="J101" i="1"/>
  <c r="I101" i="1"/>
  <c r="I98" i="1" s="1"/>
  <c r="T100" i="1"/>
  <c r="P100" i="1"/>
  <c r="O100" i="1"/>
  <c r="N100" i="1"/>
  <c r="I100" i="1"/>
  <c r="M100" i="1" s="1"/>
  <c r="T99" i="1"/>
  <c r="P99" i="1"/>
  <c r="O99" i="1"/>
  <c r="N99" i="1"/>
  <c r="M99" i="1"/>
  <c r="T98" i="1"/>
  <c r="P98" i="1"/>
  <c r="L98" i="1"/>
  <c r="K98" i="1"/>
  <c r="H98" i="1"/>
  <c r="G98" i="1"/>
  <c r="T97" i="1"/>
  <c r="P97" i="1"/>
  <c r="O97" i="1"/>
  <c r="N97" i="1"/>
  <c r="M97" i="1"/>
  <c r="I97" i="1"/>
  <c r="T96" i="1"/>
  <c r="P96" i="1"/>
  <c r="N96" i="1"/>
  <c r="J96" i="1"/>
  <c r="M96" i="1" s="1"/>
  <c r="I96" i="1"/>
  <c r="H96" i="1"/>
  <c r="T95" i="1"/>
  <c r="P95" i="1"/>
  <c r="O95" i="1"/>
  <c r="J95" i="1"/>
  <c r="N95" i="1" s="1"/>
  <c r="I95" i="1"/>
  <c r="H95" i="1"/>
  <c r="T94" i="1"/>
  <c r="P94" i="1"/>
  <c r="J94" i="1"/>
  <c r="O94" i="1" s="1"/>
  <c r="I94" i="1"/>
  <c r="H94" i="1"/>
  <c r="T93" i="1"/>
  <c r="P93" i="1"/>
  <c r="N93" i="1"/>
  <c r="J93" i="1"/>
  <c r="M93" i="1" s="1"/>
  <c r="I93" i="1"/>
  <c r="T92" i="1"/>
  <c r="P92" i="1"/>
  <c r="O92" i="1"/>
  <c r="N92" i="1"/>
  <c r="I92" i="1"/>
  <c r="M92" i="1" s="1"/>
  <c r="H92" i="1"/>
  <c r="T91" i="1"/>
  <c r="P91" i="1"/>
  <c r="J91" i="1"/>
  <c r="I91" i="1"/>
  <c r="I90" i="1" s="1"/>
  <c r="H91" i="1"/>
  <c r="H90" i="1" s="1"/>
  <c r="T90" i="1"/>
  <c r="L90" i="1"/>
  <c r="K90" i="1"/>
  <c r="G90" i="1"/>
  <c r="T89" i="1"/>
  <c r="G89" i="1"/>
  <c r="T88" i="1"/>
  <c r="T87" i="1"/>
  <c r="T86" i="1"/>
  <c r="P86" i="1"/>
  <c r="I86" i="1"/>
  <c r="J86" i="1" s="1"/>
  <c r="N86" i="1" s="1"/>
  <c r="T85" i="1"/>
  <c r="P85" i="1"/>
  <c r="O85" i="1"/>
  <c r="N85" i="1"/>
  <c r="M85" i="1"/>
  <c r="T84" i="1"/>
  <c r="P84" i="1"/>
  <c r="O84" i="1"/>
  <c r="N84" i="1"/>
  <c r="M84" i="1"/>
  <c r="I84" i="1"/>
  <c r="T83" i="1"/>
  <c r="P83" i="1"/>
  <c r="O83" i="1"/>
  <c r="N83" i="1"/>
  <c r="M83" i="1"/>
  <c r="T82" i="1"/>
  <c r="P82" i="1"/>
  <c r="O82" i="1"/>
  <c r="N82" i="1"/>
  <c r="L82" i="1"/>
  <c r="L80" i="1" s="1"/>
  <c r="H82" i="1"/>
  <c r="I82" i="1" s="1"/>
  <c r="M82" i="1" s="1"/>
  <c r="T81" i="1"/>
  <c r="P81" i="1"/>
  <c r="O81" i="1"/>
  <c r="N81" i="1"/>
  <c r="M81" i="1"/>
  <c r="T80" i="1"/>
  <c r="K80" i="1"/>
  <c r="K60" i="1" s="1"/>
  <c r="J80" i="1"/>
  <c r="N80" i="1" s="1"/>
  <c r="G80" i="1"/>
  <c r="T79" i="1"/>
  <c r="P79" i="1"/>
  <c r="N79" i="1"/>
  <c r="M79" i="1"/>
  <c r="J79" i="1"/>
  <c r="O79" i="1" s="1"/>
  <c r="H79" i="1"/>
  <c r="T78" i="1"/>
  <c r="P78" i="1"/>
  <c r="O78" i="1"/>
  <c r="N78" i="1"/>
  <c r="J78" i="1"/>
  <c r="I78" i="1"/>
  <c r="M78" i="1" s="1"/>
  <c r="T77" i="1"/>
  <c r="P77" i="1"/>
  <c r="I77" i="1"/>
  <c r="J77" i="1" s="1"/>
  <c r="T76" i="1"/>
  <c r="P76" i="1"/>
  <c r="O76" i="1"/>
  <c r="N76" i="1"/>
  <c r="I76" i="1"/>
  <c r="M76" i="1" s="1"/>
  <c r="T75" i="1"/>
  <c r="P75" i="1"/>
  <c r="O75" i="1"/>
  <c r="N75" i="1"/>
  <c r="I75" i="1"/>
  <c r="M75" i="1" s="1"/>
  <c r="T74" i="1"/>
  <c r="P74" i="1"/>
  <c r="J74" i="1"/>
  <c r="O74" i="1" s="1"/>
  <c r="I74" i="1"/>
  <c r="H74" i="1"/>
  <c r="T73" i="1"/>
  <c r="P73" i="1"/>
  <c r="O73" i="1"/>
  <c r="N73" i="1"/>
  <c r="M73" i="1"/>
  <c r="J73" i="1"/>
  <c r="I73" i="1"/>
  <c r="H73" i="1"/>
  <c r="T72" i="1"/>
  <c r="P72" i="1"/>
  <c r="O72" i="1"/>
  <c r="N72" i="1"/>
  <c r="I72" i="1"/>
  <c r="M72" i="1" s="1"/>
  <c r="T71" i="1"/>
  <c r="P71" i="1"/>
  <c r="O71" i="1"/>
  <c r="N71" i="1"/>
  <c r="M71" i="1"/>
  <c r="U70" i="1"/>
  <c r="T70" i="1"/>
  <c r="P70" i="1"/>
  <c r="J70" i="1"/>
  <c r="O70" i="1" s="1"/>
  <c r="I70" i="1"/>
  <c r="H70" i="1"/>
  <c r="T69" i="1"/>
  <c r="P69" i="1"/>
  <c r="J69" i="1"/>
  <c r="O69" i="1" s="1"/>
  <c r="I69" i="1"/>
  <c r="I68" i="1" s="1"/>
  <c r="H69" i="1"/>
  <c r="H68" i="1" s="1"/>
  <c r="T68" i="1"/>
  <c r="P68" i="1"/>
  <c r="L68" i="1"/>
  <c r="K68" i="1"/>
  <c r="G68" i="1"/>
  <c r="G60" i="1" s="1"/>
  <c r="T67" i="1"/>
  <c r="P67" i="1"/>
  <c r="O67" i="1"/>
  <c r="N67" i="1"/>
  <c r="M67" i="1"/>
  <c r="I67" i="1"/>
  <c r="H67" i="1"/>
  <c r="T66" i="1"/>
  <c r="P66" i="1"/>
  <c r="O66" i="1"/>
  <c r="N66" i="1"/>
  <c r="M66" i="1"/>
  <c r="T65" i="1"/>
  <c r="P65" i="1"/>
  <c r="O65" i="1"/>
  <c r="N65" i="1"/>
  <c r="M65" i="1"/>
  <c r="I65" i="1"/>
  <c r="T64" i="1"/>
  <c r="P64" i="1"/>
  <c r="O64" i="1"/>
  <c r="N64" i="1"/>
  <c r="L64" i="1"/>
  <c r="I64" i="1"/>
  <c r="M64" i="1" s="1"/>
  <c r="H64" i="1"/>
  <c r="T63" i="1"/>
  <c r="P63" i="1"/>
  <c r="O63" i="1"/>
  <c r="N63" i="1"/>
  <c r="L63" i="1"/>
  <c r="L61" i="1" s="1"/>
  <c r="H63" i="1"/>
  <c r="I63" i="1" s="1"/>
  <c r="T62" i="1"/>
  <c r="P62" i="1"/>
  <c r="O62" i="1"/>
  <c r="N62" i="1"/>
  <c r="M62" i="1"/>
  <c r="T61" i="1"/>
  <c r="P61" i="1"/>
  <c r="O61" i="1"/>
  <c r="K61" i="1"/>
  <c r="J61" i="1"/>
  <c r="N61" i="1" s="1"/>
  <c r="H61" i="1"/>
  <c r="G61" i="1"/>
  <c r="AA60" i="1"/>
  <c r="T60" i="1"/>
  <c r="AA59" i="1"/>
  <c r="T59" i="1"/>
  <c r="P59" i="1"/>
  <c r="O59" i="1"/>
  <c r="N59" i="1"/>
  <c r="M59" i="1"/>
  <c r="L59" i="1"/>
  <c r="T58" i="1"/>
  <c r="L58" i="1"/>
  <c r="K58" i="1"/>
  <c r="P58" i="1" s="1"/>
  <c r="J58" i="1"/>
  <c r="N58" i="1" s="1"/>
  <c r="I58" i="1"/>
  <c r="H58" i="1"/>
  <c r="G58" i="1"/>
  <c r="T57" i="1"/>
  <c r="P57" i="1"/>
  <c r="O57" i="1"/>
  <c r="N57" i="1"/>
  <c r="M57" i="1"/>
  <c r="T56" i="1"/>
  <c r="P56" i="1"/>
  <c r="O56" i="1"/>
  <c r="N56" i="1"/>
  <c r="M56" i="1"/>
  <c r="T55" i="1"/>
  <c r="P55" i="1"/>
  <c r="O55" i="1"/>
  <c r="N55" i="1"/>
  <c r="I55" i="1"/>
  <c r="I54" i="1" s="1"/>
  <c r="M54" i="1" s="1"/>
  <c r="T54" i="1"/>
  <c r="O54" i="1"/>
  <c r="N54" i="1"/>
  <c r="K54" i="1"/>
  <c r="P54" i="1" s="1"/>
  <c r="J54" i="1"/>
  <c r="H54" i="1"/>
  <c r="G54" i="1"/>
  <c r="T53" i="1"/>
  <c r="P53" i="1"/>
  <c r="O53" i="1"/>
  <c r="N53" i="1"/>
  <c r="M53" i="1"/>
  <c r="T52" i="1"/>
  <c r="P52" i="1"/>
  <c r="I52" i="1"/>
  <c r="H52" i="1"/>
  <c r="T51" i="1"/>
  <c r="P51" i="1"/>
  <c r="J51" i="1"/>
  <c r="J52" i="1" s="1"/>
  <c r="H51" i="1"/>
  <c r="T50" i="1"/>
  <c r="L50" i="1"/>
  <c r="L49" i="1" s="1"/>
  <c r="K50" i="1"/>
  <c r="P50" i="1" s="1"/>
  <c r="I50" i="1"/>
  <c r="I49" i="1" s="1"/>
  <c r="H50" i="1"/>
  <c r="G50" i="1"/>
  <c r="G49" i="1" s="1"/>
  <c r="G48" i="1" s="1"/>
  <c r="T49" i="1"/>
  <c r="H49" i="1"/>
  <c r="T48" i="1"/>
  <c r="T47" i="1"/>
  <c r="P47" i="1"/>
  <c r="O47" i="1"/>
  <c r="N47" i="1"/>
  <c r="M47" i="1"/>
  <c r="T46" i="1"/>
  <c r="P46" i="1"/>
  <c r="O46" i="1"/>
  <c r="N46" i="1"/>
  <c r="M46" i="1"/>
  <c r="T45" i="1"/>
  <c r="P45" i="1"/>
  <c r="O45" i="1"/>
  <c r="N45" i="1"/>
  <c r="M45" i="1"/>
  <c r="T44" i="1"/>
  <c r="P44" i="1"/>
  <c r="O44" i="1"/>
  <c r="N44" i="1"/>
  <c r="M44" i="1"/>
  <c r="T43" i="1"/>
  <c r="P43" i="1"/>
  <c r="O43" i="1"/>
  <c r="N43" i="1"/>
  <c r="M43" i="1"/>
  <c r="T42" i="1"/>
  <c r="P42" i="1"/>
  <c r="O42" i="1"/>
  <c r="N42" i="1"/>
  <c r="M42" i="1"/>
  <c r="T41" i="1"/>
  <c r="P41" i="1"/>
  <c r="O41" i="1"/>
  <c r="N41" i="1"/>
  <c r="M41" i="1"/>
  <c r="T40" i="1"/>
  <c r="P40" i="1"/>
  <c r="O40" i="1"/>
  <c r="N40" i="1"/>
  <c r="M40" i="1"/>
  <c r="T39" i="1"/>
  <c r="P39" i="1"/>
  <c r="O39" i="1"/>
  <c r="N39" i="1"/>
  <c r="M39" i="1"/>
  <c r="T38" i="1"/>
  <c r="P38" i="1"/>
  <c r="O38" i="1"/>
  <c r="N38" i="1"/>
  <c r="M38" i="1"/>
  <c r="T37" i="1"/>
  <c r="P37" i="1"/>
  <c r="O37" i="1"/>
  <c r="N37" i="1"/>
  <c r="M37" i="1"/>
  <c r="T36" i="1"/>
  <c r="P36" i="1"/>
  <c r="O36" i="1"/>
  <c r="N36" i="1"/>
  <c r="M36" i="1"/>
  <c r="T35" i="1"/>
  <c r="P35" i="1"/>
  <c r="O35" i="1"/>
  <c r="L35" i="1"/>
  <c r="K35" i="1"/>
  <c r="K34" i="1" s="1"/>
  <c r="J35" i="1"/>
  <c r="N35" i="1" s="1"/>
  <c r="I35" i="1"/>
  <c r="I34" i="1" s="1"/>
  <c r="H35" i="1"/>
  <c r="H34" i="1" s="1"/>
  <c r="G35" i="1"/>
  <c r="T34" i="1"/>
  <c r="L34" i="1"/>
  <c r="G34" i="1"/>
  <c r="T33" i="1"/>
  <c r="P33" i="1"/>
  <c r="O33" i="1"/>
  <c r="N33" i="1"/>
  <c r="M33" i="1"/>
  <c r="H33" i="1"/>
  <c r="T32" i="1"/>
  <c r="P32" i="1"/>
  <c r="O32" i="1"/>
  <c r="N32" i="1"/>
  <c r="I32" i="1"/>
  <c r="M32" i="1" s="1"/>
  <c r="T31" i="1"/>
  <c r="P31" i="1"/>
  <c r="O31" i="1"/>
  <c r="N31" i="1"/>
  <c r="M31" i="1"/>
  <c r="J31" i="1"/>
  <c r="I31" i="1"/>
  <c r="H31" i="1"/>
  <c r="T30" i="1"/>
  <c r="L30" i="1"/>
  <c r="L24" i="1" s="1"/>
  <c r="K30" i="1"/>
  <c r="K24" i="1" s="1"/>
  <c r="J30" i="1"/>
  <c r="N30" i="1" s="1"/>
  <c r="H30" i="1"/>
  <c r="G30" i="1"/>
  <c r="T29" i="1"/>
  <c r="P29" i="1"/>
  <c r="N29" i="1"/>
  <c r="J29" i="1"/>
  <c r="O29" i="1" s="1"/>
  <c r="I29" i="1"/>
  <c r="M29" i="1" s="1"/>
  <c r="H29" i="1"/>
  <c r="T28" i="1"/>
  <c r="P28" i="1"/>
  <c r="J28" i="1"/>
  <c r="O28" i="1" s="1"/>
  <c r="I28" i="1"/>
  <c r="H28" i="1"/>
  <c r="T27" i="1"/>
  <c r="P27" i="1"/>
  <c r="O27" i="1"/>
  <c r="N27" i="1"/>
  <c r="M27" i="1"/>
  <c r="T26" i="1"/>
  <c r="P26" i="1"/>
  <c r="J26" i="1"/>
  <c r="O26" i="1" s="1"/>
  <c r="I26" i="1"/>
  <c r="I25" i="1" s="1"/>
  <c r="H26" i="1"/>
  <c r="H25" i="1" s="1"/>
  <c r="H24" i="1" s="1"/>
  <c r="T25" i="1"/>
  <c r="P25" i="1"/>
  <c r="L25" i="1"/>
  <c r="K25" i="1"/>
  <c r="G25" i="1"/>
  <c r="G24" i="1" s="1"/>
  <c r="T24" i="1"/>
  <c r="T23" i="1"/>
  <c r="P23" i="1"/>
  <c r="J23" i="1"/>
  <c r="N23" i="1" s="1"/>
  <c r="I23" i="1"/>
  <c r="H23" i="1"/>
  <c r="T22" i="1"/>
  <c r="P22" i="1"/>
  <c r="J22" i="1"/>
  <c r="O22" i="1" s="1"/>
  <c r="I22" i="1"/>
  <c r="H22" i="1"/>
  <c r="H18" i="1" s="1"/>
  <c r="H17" i="1" s="1"/>
  <c r="T21" i="1"/>
  <c r="P21" i="1"/>
  <c r="O21" i="1"/>
  <c r="J21" i="1"/>
  <c r="N21" i="1" s="1"/>
  <c r="H21" i="1"/>
  <c r="T20" i="1"/>
  <c r="P20" i="1"/>
  <c r="O20" i="1"/>
  <c r="J20" i="1"/>
  <c r="J18" i="1" s="1"/>
  <c r="I20" i="1"/>
  <c r="M20" i="1" s="1"/>
  <c r="T19" i="1"/>
  <c r="P19" i="1"/>
  <c r="O19" i="1"/>
  <c r="N19" i="1"/>
  <c r="I19" i="1"/>
  <c r="I18" i="1" s="1"/>
  <c r="I17" i="1" s="1"/>
  <c r="T18" i="1"/>
  <c r="P18" i="1"/>
  <c r="L18" i="1"/>
  <c r="L17" i="1" s="1"/>
  <c r="K18" i="1"/>
  <c r="O18" i="1" s="1"/>
  <c r="G18" i="1"/>
  <c r="T17" i="1"/>
  <c r="K17" i="1"/>
  <c r="P17" i="1" s="1"/>
  <c r="G17" i="1"/>
  <c r="T16" i="1"/>
  <c r="P16" i="1"/>
  <c r="O16" i="1"/>
  <c r="N16" i="1"/>
  <c r="N14" i="1" s="1"/>
  <c r="N13" i="1" s="1"/>
  <c r="M16" i="1"/>
  <c r="T15" i="1"/>
  <c r="P15" i="1"/>
  <c r="O15" i="1"/>
  <c r="N15" i="1"/>
  <c r="J15" i="1"/>
  <c r="M15" i="1" s="1"/>
  <c r="M14" i="1" s="1"/>
  <c r="M13" i="1" s="1"/>
  <c r="I15" i="1"/>
  <c r="H15" i="1"/>
  <c r="X14" i="1"/>
  <c r="W14" i="1"/>
  <c r="T14" i="1"/>
  <c r="P14" i="1"/>
  <c r="O14" i="1"/>
  <c r="L14" i="1"/>
  <c r="K14" i="1"/>
  <c r="J14" i="1"/>
  <c r="I14" i="1"/>
  <c r="H14" i="1"/>
  <c r="G14" i="1"/>
  <c r="Y13" i="1"/>
  <c r="T13" i="1"/>
  <c r="P13" i="1"/>
  <c r="O13" i="1"/>
  <c r="L13" i="1"/>
  <c r="K13" i="1"/>
  <c r="J13" i="1"/>
  <c r="I13" i="1"/>
  <c r="H13" i="1"/>
  <c r="G13" i="1"/>
  <c r="Y12" i="1"/>
  <c r="T12" i="1"/>
  <c r="P12" i="1"/>
  <c r="O12" i="1"/>
  <c r="N12" i="1"/>
  <c r="M12" i="1"/>
  <c r="J12" i="1"/>
  <c r="I12" i="1"/>
  <c r="H12" i="1"/>
  <c r="V11" i="1"/>
  <c r="T11" i="1"/>
  <c r="P11" i="1"/>
  <c r="J11" i="1"/>
  <c r="N11" i="1" s="1"/>
  <c r="I11" i="1"/>
  <c r="I8" i="1" s="1"/>
  <c r="H11" i="1"/>
  <c r="T10" i="1"/>
  <c r="P10" i="1"/>
  <c r="J10" i="1"/>
  <c r="O10" i="1" s="1"/>
  <c r="I10" i="1"/>
  <c r="H10" i="1"/>
  <c r="H8" i="1" s="1"/>
  <c r="T9" i="1"/>
  <c r="P9" i="1"/>
  <c r="O9" i="1"/>
  <c r="N9" i="1"/>
  <c r="M9" i="1"/>
  <c r="J9" i="1"/>
  <c r="I9" i="1"/>
  <c r="H9" i="1"/>
  <c r="T8" i="1"/>
  <c r="L8" i="1"/>
  <c r="K8" i="1"/>
  <c r="P8" i="1" s="1"/>
  <c r="J8" i="1"/>
  <c r="N8" i="1" s="1"/>
  <c r="G8" i="1"/>
  <c r="T7" i="1"/>
  <c r="P7" i="1"/>
  <c r="N7" i="1"/>
  <c r="J7" i="1"/>
  <c r="O7" i="1" s="1"/>
  <c r="I7" i="1"/>
  <c r="M7" i="1" s="1"/>
  <c r="H7" i="1"/>
  <c r="T6" i="1"/>
  <c r="P6" i="1"/>
  <c r="J6" i="1"/>
  <c r="O6" i="1" s="1"/>
  <c r="I6" i="1"/>
  <c r="I5" i="1" s="1"/>
  <c r="I4" i="1" s="1"/>
  <c r="H6" i="1"/>
  <c r="H5" i="1" s="1"/>
  <c r="H4" i="1" s="1"/>
  <c r="T5" i="1"/>
  <c r="P5" i="1"/>
  <c r="L5" i="1"/>
  <c r="K5" i="1"/>
  <c r="G5" i="1"/>
  <c r="T4" i="1"/>
  <c r="L4" i="1"/>
  <c r="G4" i="1"/>
  <c r="T3" i="1"/>
  <c r="T2" i="1"/>
  <c r="J243" i="1" l="1"/>
  <c r="O247" i="1"/>
  <c r="N247" i="1"/>
  <c r="M247" i="1"/>
  <c r="H3" i="1"/>
  <c r="O150" i="1"/>
  <c r="N150" i="1"/>
  <c r="M150" i="1"/>
  <c r="L48" i="1"/>
  <c r="O77" i="1"/>
  <c r="M77" i="1"/>
  <c r="N77" i="1"/>
  <c r="O327" i="1"/>
  <c r="N327" i="1"/>
  <c r="M327" i="1"/>
  <c r="P24" i="1"/>
  <c r="N52" i="1"/>
  <c r="M52" i="1"/>
  <c r="O52" i="1"/>
  <c r="I121" i="1"/>
  <c r="H120" i="1"/>
  <c r="O192" i="1"/>
  <c r="N192" i="1"/>
  <c r="M192" i="1"/>
  <c r="H227" i="1"/>
  <c r="L3" i="1"/>
  <c r="L2" i="1" s="1"/>
  <c r="O139" i="1"/>
  <c r="N139" i="1"/>
  <c r="M139" i="1"/>
  <c r="G3" i="1"/>
  <c r="G2" i="1" s="1"/>
  <c r="M63" i="1"/>
  <c r="I61" i="1"/>
  <c r="I60" i="1" s="1"/>
  <c r="I48" i="1" s="1"/>
  <c r="O122" i="1"/>
  <c r="N122" i="1"/>
  <c r="M122" i="1"/>
  <c r="P34" i="1"/>
  <c r="N18" i="1"/>
  <c r="M18" i="1"/>
  <c r="J17" i="1"/>
  <c r="L60" i="1"/>
  <c r="P60" i="1"/>
  <c r="N51" i="1"/>
  <c r="I127" i="1"/>
  <c r="N146" i="1"/>
  <c r="N70" i="1"/>
  <c r="K4" i="1"/>
  <c r="I30" i="1"/>
  <c r="I24" i="1" s="1"/>
  <c r="I3" i="1" s="1"/>
  <c r="I2" i="1" s="1"/>
  <c r="I80" i="1"/>
  <c r="O131" i="1"/>
  <c r="N131" i="1"/>
  <c r="M131" i="1"/>
  <c r="P133" i="1"/>
  <c r="H173" i="1"/>
  <c r="H172" i="1" s="1"/>
  <c r="H132" i="1" s="1"/>
  <c r="N187" i="1"/>
  <c r="M187" i="1"/>
  <c r="H201" i="1"/>
  <c r="H200" i="1" s="1"/>
  <c r="O214" i="1"/>
  <c r="N214" i="1"/>
  <c r="I315" i="1"/>
  <c r="I307" i="1" s="1"/>
  <c r="I306" i="1" s="1"/>
  <c r="P182" i="1"/>
  <c r="P286" i="1"/>
  <c r="G285" i="1"/>
  <c r="O311" i="1"/>
  <c r="N311" i="1"/>
  <c r="M311" i="1"/>
  <c r="O318" i="1"/>
  <c r="N318" i="1"/>
  <c r="J315" i="1"/>
  <c r="M318" i="1"/>
  <c r="M23" i="1"/>
  <c r="M51" i="1"/>
  <c r="M86" i="1"/>
  <c r="M101" i="1"/>
  <c r="M107" i="1"/>
  <c r="M146" i="1"/>
  <c r="P151" i="1"/>
  <c r="K132" i="1"/>
  <c r="O151" i="1"/>
  <c r="H211" i="1"/>
  <c r="H210" i="1" s="1"/>
  <c r="I212" i="1"/>
  <c r="O233" i="1"/>
  <c r="N233" i="1"/>
  <c r="J232" i="1"/>
  <c r="M233" i="1"/>
  <c r="L227" i="1"/>
  <c r="N289" i="1"/>
  <c r="M289" i="1"/>
  <c r="H297" i="1"/>
  <c r="H296" i="1" s="1"/>
  <c r="H285" i="1" s="1"/>
  <c r="I302" i="1"/>
  <c r="I297" i="1" s="1"/>
  <c r="I296" i="1" s="1"/>
  <c r="I285" i="1" s="1"/>
  <c r="P243" i="1"/>
  <c r="O243" i="1"/>
  <c r="M304" i="1"/>
  <c r="J303" i="1"/>
  <c r="O304" i="1"/>
  <c r="M8" i="1"/>
  <c r="M11" i="1"/>
  <c r="N20" i="1"/>
  <c r="O23" i="1"/>
  <c r="M30" i="1"/>
  <c r="J50" i="1"/>
  <c r="O51" i="1"/>
  <c r="M58" i="1"/>
  <c r="M70" i="1"/>
  <c r="M80" i="1"/>
  <c r="O86" i="1"/>
  <c r="N111" i="1"/>
  <c r="O149" i="1"/>
  <c r="N149" i="1"/>
  <c r="M149" i="1"/>
  <c r="M163" i="1"/>
  <c r="M190" i="1"/>
  <c r="N218" i="1"/>
  <c r="P356" i="1"/>
  <c r="P105" i="1"/>
  <c r="O17" i="1"/>
  <c r="K89" i="1"/>
  <c r="N125" i="1"/>
  <c r="M125" i="1"/>
  <c r="O138" i="1"/>
  <c r="N138" i="1"/>
  <c r="P161" i="1"/>
  <c r="I173" i="1"/>
  <c r="I172" i="1" s="1"/>
  <c r="N190" i="1"/>
  <c r="O197" i="1"/>
  <c r="J196" i="1"/>
  <c r="O196" i="1" s="1"/>
  <c r="N197" i="1"/>
  <c r="M197" i="1"/>
  <c r="N286" i="1"/>
  <c r="P289" i="1"/>
  <c r="P296" i="1"/>
  <c r="I118" i="1"/>
  <c r="N140" i="1"/>
  <c r="M140" i="1"/>
  <c r="O8" i="1"/>
  <c r="O11" i="1"/>
  <c r="M22" i="1"/>
  <c r="O30" i="1"/>
  <c r="K49" i="1"/>
  <c r="O58" i="1"/>
  <c r="O80" i="1"/>
  <c r="N114" i="1"/>
  <c r="O125" i="1"/>
  <c r="J134" i="1"/>
  <c r="M138" i="1"/>
  <c r="O174" i="1"/>
  <c r="N174" i="1"/>
  <c r="J173" i="1"/>
  <c r="M174" i="1"/>
  <c r="P183" i="1"/>
  <c r="N229" i="1"/>
  <c r="M229" i="1"/>
  <c r="O241" i="1"/>
  <c r="N241" i="1"/>
  <c r="J240" i="1"/>
  <c r="M241" i="1"/>
  <c r="N304" i="1"/>
  <c r="K306" i="1"/>
  <c r="N22" i="1"/>
  <c r="P30" i="1"/>
  <c r="M55" i="1"/>
  <c r="P80" i="1"/>
  <c r="P114" i="1"/>
  <c r="H128" i="1"/>
  <c r="I128" i="1" s="1"/>
  <c r="J128" i="1" s="1"/>
  <c r="P134" i="1"/>
  <c r="N141" i="1"/>
  <c r="M141" i="1"/>
  <c r="G303" i="1"/>
  <c r="P303" i="1" s="1"/>
  <c r="P307" i="1"/>
  <c r="P334" i="1"/>
  <c r="M10" i="1"/>
  <c r="M19" i="1"/>
  <c r="M26" i="1"/>
  <c r="J34" i="1"/>
  <c r="M69" i="1"/>
  <c r="M74" i="1"/>
  <c r="M94" i="1"/>
  <c r="O104" i="1"/>
  <c r="J98" i="1"/>
  <c r="H105" i="1"/>
  <c r="H89" i="1" s="1"/>
  <c r="I106" i="1"/>
  <c r="I105" i="1" s="1"/>
  <c r="I89" i="1" s="1"/>
  <c r="O108" i="1"/>
  <c r="J105" i="1"/>
  <c r="O105" i="1" s="1"/>
  <c r="M110" i="1"/>
  <c r="L132" i="1"/>
  <c r="O141" i="1"/>
  <c r="O200" i="1"/>
  <c r="H243" i="1"/>
  <c r="H242" i="1" s="1"/>
  <c r="I244" i="1"/>
  <c r="K285" i="1"/>
  <c r="J308" i="1"/>
  <c r="J307" i="1" s="1"/>
  <c r="J306" i="1" s="1"/>
  <c r="O310" i="1"/>
  <c r="N310" i="1"/>
  <c r="N308" i="1" s="1"/>
  <c r="M310" i="1"/>
  <c r="M308" i="1" s="1"/>
  <c r="O91" i="1"/>
  <c r="N91" i="1"/>
  <c r="J90" i="1"/>
  <c r="M91" i="1"/>
  <c r="M6" i="1"/>
  <c r="N10" i="1"/>
  <c r="J25" i="1"/>
  <c r="N26" i="1"/>
  <c r="M28" i="1"/>
  <c r="O50" i="1"/>
  <c r="J68" i="1"/>
  <c r="N69" i="1"/>
  <c r="N74" i="1"/>
  <c r="N94" i="1"/>
  <c r="M104" i="1"/>
  <c r="M108" i="1"/>
  <c r="M114" i="1"/>
  <c r="N119" i="1"/>
  <c r="G117" i="1"/>
  <c r="G113" i="1" s="1"/>
  <c r="G88" i="1" s="1"/>
  <c r="G87" i="1" s="1"/>
  <c r="H119" i="1"/>
  <c r="I119" i="1" s="1"/>
  <c r="M119" i="1" s="1"/>
  <c r="M168" i="1"/>
  <c r="P172" i="1"/>
  <c r="J200" i="1"/>
  <c r="N201" i="1"/>
  <c r="M201" i="1"/>
  <c r="J228" i="1"/>
  <c r="O229" i="1"/>
  <c r="G296" i="1"/>
  <c r="O301" i="1"/>
  <c r="J297" i="1"/>
  <c r="P315" i="1"/>
  <c r="K341" i="1"/>
  <c r="P346" i="1"/>
  <c r="O346" i="1"/>
  <c r="J5" i="1"/>
  <c r="N6" i="1"/>
  <c r="M21" i="1"/>
  <c r="N28" i="1"/>
  <c r="M35" i="1"/>
  <c r="M61" i="1"/>
  <c r="P90" i="1"/>
  <c r="I124" i="1"/>
  <c r="H123" i="1"/>
  <c r="P152" i="1"/>
  <c r="O152" i="1"/>
  <c r="O170" i="1"/>
  <c r="N170" i="1"/>
  <c r="M170" i="1"/>
  <c r="O189" i="1"/>
  <c r="N189" i="1"/>
  <c r="I201" i="1"/>
  <c r="I200" i="1" s="1"/>
  <c r="M203" i="1"/>
  <c r="K228" i="1"/>
  <c r="K242" i="1"/>
  <c r="J256" i="1"/>
  <c r="P297" i="1"/>
  <c r="O297" i="1"/>
  <c r="O303" i="1"/>
  <c r="H307" i="1"/>
  <c r="H306" i="1" s="1"/>
  <c r="O185" i="1"/>
  <c r="N185" i="1"/>
  <c r="M185" i="1"/>
  <c r="H80" i="1"/>
  <c r="H60" i="1" s="1"/>
  <c r="H48" i="1" s="1"/>
  <c r="L89" i="1"/>
  <c r="L88" i="1" s="1"/>
  <c r="J162" i="1"/>
  <c r="I183" i="1"/>
  <c r="I182" i="1" s="1"/>
  <c r="J184" i="1"/>
  <c r="M189" i="1"/>
  <c r="P198" i="1"/>
  <c r="P290" i="1"/>
  <c r="O290" i="1"/>
  <c r="N301" i="1"/>
  <c r="P308" i="1"/>
  <c r="P330" i="1"/>
  <c r="I340" i="1"/>
  <c r="M340" i="1" s="1"/>
  <c r="O93" i="1"/>
  <c r="O96" i="1"/>
  <c r="O101" i="1"/>
  <c r="O107" i="1"/>
  <c r="O110" i="1"/>
  <c r="O134" i="1"/>
  <c r="N154" i="1"/>
  <c r="N176" i="1"/>
  <c r="O179" i="1"/>
  <c r="M112" i="1"/>
  <c r="O114" i="1"/>
  <c r="I130" i="1"/>
  <c r="M160" i="1"/>
  <c r="O162" i="1"/>
  <c r="M164" i="1"/>
  <c r="H183" i="1"/>
  <c r="H182" i="1" s="1"/>
  <c r="J199" i="1"/>
  <c r="J358" i="1"/>
  <c r="M95" i="1"/>
  <c r="M109" i="1"/>
  <c r="N112" i="1"/>
  <c r="H129" i="1"/>
  <c r="M153" i="1"/>
  <c r="N160" i="1"/>
  <c r="N164" i="1"/>
  <c r="O201" i="1"/>
  <c r="O240" i="1"/>
  <c r="M302" i="1"/>
  <c r="O308" i="1"/>
  <c r="O315" i="1"/>
  <c r="O164" i="1"/>
  <c r="M346" i="1"/>
  <c r="G341" i="1"/>
  <c r="M335" i="1"/>
  <c r="M167" i="1"/>
  <c r="M245" i="1"/>
  <c r="J334" i="1"/>
  <c r="N335" i="1"/>
  <c r="H88" i="1" l="1"/>
  <c r="H87" i="1" s="1"/>
  <c r="I117" i="1"/>
  <c r="J118" i="1"/>
  <c r="N199" i="1"/>
  <c r="M199" i="1"/>
  <c r="J198" i="1"/>
  <c r="O199" i="1"/>
  <c r="N334" i="1"/>
  <c r="M334" i="1"/>
  <c r="J331" i="1"/>
  <c r="M34" i="1"/>
  <c r="N34" i="1"/>
  <c r="H126" i="1"/>
  <c r="O34" i="1"/>
  <c r="N200" i="1"/>
  <c r="M200" i="1"/>
  <c r="N68" i="1"/>
  <c r="J60" i="1"/>
  <c r="O68" i="1"/>
  <c r="M68" i="1"/>
  <c r="N307" i="1"/>
  <c r="N306" i="1" s="1"/>
  <c r="P49" i="1"/>
  <c r="K48" i="1"/>
  <c r="P89" i="1"/>
  <c r="J127" i="1"/>
  <c r="I126" i="1"/>
  <c r="H2" i="1"/>
  <c r="O128" i="1"/>
  <c r="N128" i="1"/>
  <c r="M128" i="1"/>
  <c r="G340" i="1"/>
  <c r="N341" i="1"/>
  <c r="P341" i="1"/>
  <c r="O341" i="1"/>
  <c r="K340" i="1"/>
  <c r="N303" i="1"/>
  <c r="M303" i="1"/>
  <c r="J231" i="1"/>
  <c r="O232" i="1"/>
  <c r="N232" i="1"/>
  <c r="M232" i="1"/>
  <c r="N358" i="1"/>
  <c r="M358" i="1"/>
  <c r="J357" i="1"/>
  <c r="O358" i="1"/>
  <c r="P132" i="1"/>
  <c r="J4" i="1"/>
  <c r="M5" i="1"/>
  <c r="O5" i="1"/>
  <c r="N5" i="1"/>
  <c r="J161" i="1"/>
  <c r="N162" i="1"/>
  <c r="M162" i="1"/>
  <c r="P306" i="1"/>
  <c r="O306" i="1"/>
  <c r="J172" i="1"/>
  <c r="O173" i="1"/>
  <c r="N173" i="1"/>
  <c r="M173" i="1"/>
  <c r="N196" i="1"/>
  <c r="M196" i="1"/>
  <c r="N105" i="1"/>
  <c r="M105" i="1"/>
  <c r="L87" i="1"/>
  <c r="L328" i="1" s="1"/>
  <c r="L353" i="1" s="1"/>
  <c r="L359" i="1" s="1"/>
  <c r="P242" i="1"/>
  <c r="J124" i="1"/>
  <c r="I123" i="1"/>
  <c r="J296" i="1"/>
  <c r="N297" i="1"/>
  <c r="M297" i="1"/>
  <c r="J24" i="1"/>
  <c r="O25" i="1"/>
  <c r="N25" i="1"/>
  <c r="M25" i="1"/>
  <c r="P285" i="1"/>
  <c r="O307" i="1"/>
  <c r="J121" i="1"/>
  <c r="I120" i="1"/>
  <c r="P4" i="1"/>
  <c r="O4" i="1"/>
  <c r="K3" i="1"/>
  <c r="N228" i="1"/>
  <c r="M228" i="1"/>
  <c r="O184" i="1"/>
  <c r="J183" i="1"/>
  <c r="N184" i="1"/>
  <c r="M184" i="1"/>
  <c r="I129" i="1"/>
  <c r="J130" i="1"/>
  <c r="K227" i="1"/>
  <c r="P228" i="1"/>
  <c r="O228" i="1"/>
  <c r="I243" i="1"/>
  <c r="I242" i="1" s="1"/>
  <c r="I227" i="1" s="1"/>
  <c r="M244" i="1"/>
  <c r="M98" i="1"/>
  <c r="N98" i="1"/>
  <c r="O98" i="1"/>
  <c r="I211" i="1"/>
  <c r="I210" i="1" s="1"/>
  <c r="I132" i="1" s="1"/>
  <c r="J212" i="1"/>
  <c r="I329" i="1"/>
  <c r="G328" i="1"/>
  <c r="J89" i="1"/>
  <c r="O90" i="1"/>
  <c r="N90" i="1"/>
  <c r="M90" i="1"/>
  <c r="O256" i="1"/>
  <c r="J255" i="1"/>
  <c r="O255" i="1" s="1"/>
  <c r="O334" i="1"/>
  <c r="M106" i="1"/>
  <c r="J242" i="1"/>
  <c r="J227" i="1" s="1"/>
  <c r="N243" i="1"/>
  <c r="J239" i="1"/>
  <c r="N240" i="1"/>
  <c r="M240" i="1"/>
  <c r="M134" i="1"/>
  <c r="J133" i="1"/>
  <c r="N134" i="1"/>
  <c r="H117" i="1"/>
  <c r="H113" i="1" s="1"/>
  <c r="N50" i="1"/>
  <c r="J49" i="1"/>
  <c r="O49" i="1" s="1"/>
  <c r="M50" i="1"/>
  <c r="N315" i="1"/>
  <c r="M315" i="1"/>
  <c r="M307" i="1" s="1"/>
  <c r="M306" i="1" s="1"/>
  <c r="M17" i="1"/>
  <c r="N17" i="1"/>
  <c r="M227" i="1" l="1"/>
  <c r="N227" i="1"/>
  <c r="M331" i="1"/>
  <c r="J330" i="1"/>
  <c r="O331" i="1"/>
  <c r="N331" i="1"/>
  <c r="H328" i="1"/>
  <c r="H353" i="1" s="1"/>
  <c r="H359" i="1" s="1"/>
  <c r="N60" i="1"/>
  <c r="M60" i="1"/>
  <c r="O60" i="1"/>
  <c r="N231" i="1"/>
  <c r="M231" i="1"/>
  <c r="O231" i="1"/>
  <c r="N242" i="1"/>
  <c r="M242" i="1"/>
  <c r="K127" i="1"/>
  <c r="J126" i="1"/>
  <c r="N127" i="1"/>
  <c r="M127" i="1"/>
  <c r="N198" i="1"/>
  <c r="M198" i="1"/>
  <c r="O198" i="1"/>
  <c r="O3" i="1"/>
  <c r="P3" i="1"/>
  <c r="K2" i="1"/>
  <c r="N4" i="1"/>
  <c r="M4" i="1"/>
  <c r="J3" i="1"/>
  <c r="M24" i="1"/>
  <c r="N24" i="1"/>
  <c r="O24" i="1"/>
  <c r="N89" i="1"/>
  <c r="M89" i="1"/>
  <c r="O89" i="1"/>
  <c r="N239" i="1"/>
  <c r="M239" i="1"/>
  <c r="O239" i="1"/>
  <c r="N172" i="1"/>
  <c r="M172" i="1"/>
  <c r="O172" i="1"/>
  <c r="P48" i="1"/>
  <c r="I113" i="1"/>
  <c r="I88" i="1" s="1"/>
  <c r="I87" i="1" s="1"/>
  <c r="I328" i="1" s="1"/>
  <c r="I353" i="1" s="1"/>
  <c r="I359" i="1" s="1"/>
  <c r="N183" i="1"/>
  <c r="M183" i="1"/>
  <c r="J182" i="1"/>
  <c r="O183" i="1"/>
  <c r="J117" i="1"/>
  <c r="N118" i="1"/>
  <c r="M118" i="1"/>
  <c r="K118" i="1"/>
  <c r="M243" i="1"/>
  <c r="K124" i="1"/>
  <c r="N124" i="1"/>
  <c r="J123" i="1"/>
  <c r="M124" i="1"/>
  <c r="N49" i="1"/>
  <c r="M49" i="1"/>
  <c r="J48" i="1"/>
  <c r="N161" i="1"/>
  <c r="M161" i="1"/>
  <c r="O161" i="1"/>
  <c r="N133" i="1"/>
  <c r="M133" i="1"/>
  <c r="O133" i="1"/>
  <c r="P340" i="1"/>
  <c r="O340" i="1"/>
  <c r="K329" i="1"/>
  <c r="P227" i="1"/>
  <c r="O227" i="1"/>
  <c r="N296" i="1"/>
  <c r="M296" i="1"/>
  <c r="O296" i="1"/>
  <c r="J285" i="1"/>
  <c r="K130" i="1"/>
  <c r="N130" i="1"/>
  <c r="N129" i="1" s="1"/>
  <c r="J129" i="1"/>
  <c r="M130" i="1"/>
  <c r="M129" i="1" s="1"/>
  <c r="K121" i="1"/>
  <c r="J120" i="1"/>
  <c r="N121" i="1"/>
  <c r="M121" i="1"/>
  <c r="N357" i="1"/>
  <c r="M357" i="1"/>
  <c r="J356" i="1"/>
  <c r="O357" i="1"/>
  <c r="M212" i="1"/>
  <c r="O212" i="1"/>
  <c r="N212" i="1"/>
  <c r="J211" i="1"/>
  <c r="O242" i="1"/>
  <c r="N340" i="1"/>
  <c r="G329" i="1"/>
  <c r="G353" i="1" s="1"/>
  <c r="G359" i="1" s="1"/>
  <c r="N211" i="1" l="1"/>
  <c r="M211" i="1"/>
  <c r="J210" i="1"/>
  <c r="O211" i="1"/>
  <c r="N48" i="1"/>
  <c r="M48" i="1"/>
  <c r="N120" i="1"/>
  <c r="M120" i="1"/>
  <c r="N182" i="1"/>
  <c r="M182" i="1"/>
  <c r="O182" i="1"/>
  <c r="P121" i="1"/>
  <c r="O121" i="1"/>
  <c r="K120" i="1"/>
  <c r="P329" i="1"/>
  <c r="N123" i="1"/>
  <c r="M123" i="1"/>
  <c r="P130" i="1"/>
  <c r="O130" i="1"/>
  <c r="K129" i="1"/>
  <c r="P124" i="1"/>
  <c r="K123" i="1"/>
  <c r="O124" i="1"/>
  <c r="O48" i="1"/>
  <c r="N126" i="1"/>
  <c r="M126" i="1"/>
  <c r="N356" i="1"/>
  <c r="M356" i="1"/>
  <c r="J355" i="1"/>
  <c r="O356" i="1"/>
  <c r="N285" i="1"/>
  <c r="M285" i="1"/>
  <c r="O285" i="1"/>
  <c r="J132" i="1"/>
  <c r="P118" i="1"/>
  <c r="O118" i="1"/>
  <c r="K117" i="1"/>
  <c r="J2" i="1"/>
  <c r="N3" i="1"/>
  <c r="M3" i="1"/>
  <c r="P127" i="1"/>
  <c r="O127" i="1"/>
  <c r="K126" i="1"/>
  <c r="J329" i="1"/>
  <c r="O329" i="1" s="1"/>
  <c r="N330" i="1"/>
  <c r="M330" i="1"/>
  <c r="O330" i="1"/>
  <c r="N117" i="1"/>
  <c r="J113" i="1"/>
  <c r="M117" i="1"/>
  <c r="P2" i="1"/>
  <c r="O2" i="1"/>
  <c r="N132" i="1" l="1"/>
  <c r="M132" i="1"/>
  <c r="O132" i="1"/>
  <c r="O126" i="1"/>
  <c r="P126" i="1"/>
  <c r="N355" i="1"/>
  <c r="M355" i="1"/>
  <c r="J354" i="1"/>
  <c r="O355" i="1"/>
  <c r="N329" i="1"/>
  <c r="M329" i="1"/>
  <c r="N2" i="1"/>
  <c r="M2" i="1"/>
  <c r="M210" i="1"/>
  <c r="O210" i="1"/>
  <c r="N210" i="1"/>
  <c r="P129" i="1"/>
  <c r="O129" i="1"/>
  <c r="N113" i="1"/>
  <c r="M113" i="1"/>
  <c r="J88" i="1"/>
  <c r="O117" i="1"/>
  <c r="K113" i="1"/>
  <c r="P117" i="1"/>
  <c r="O120" i="1"/>
  <c r="P120" i="1"/>
  <c r="P123" i="1"/>
  <c r="O123" i="1"/>
  <c r="N88" i="1" l="1"/>
  <c r="M88" i="1"/>
  <c r="J87" i="1"/>
  <c r="M354" i="1"/>
  <c r="O354" i="1"/>
  <c r="N354" i="1"/>
  <c r="P113" i="1"/>
  <c r="O113" i="1"/>
  <c r="K88" i="1"/>
  <c r="K87" i="1" l="1"/>
  <c r="O88" i="1"/>
  <c r="P88" i="1"/>
  <c r="M87" i="1"/>
  <c r="N87" i="1"/>
  <c r="J328" i="1"/>
  <c r="J353" i="1" l="1"/>
  <c r="N328" i="1"/>
  <c r="M328" i="1"/>
  <c r="P87" i="1"/>
  <c r="O87" i="1"/>
  <c r="K328" i="1"/>
  <c r="K353" i="1" l="1"/>
  <c r="P328" i="1"/>
  <c r="O328" i="1"/>
  <c r="J359" i="1"/>
  <c r="N353" i="1"/>
  <c r="M353" i="1"/>
  <c r="P353" i="1" l="1"/>
  <c r="O353" i="1"/>
  <c r="K359" i="1"/>
  <c r="N359" i="1"/>
  <c r="M359" i="1"/>
  <c r="O359" i="1" l="1"/>
  <c r="P359" i="1"/>
</calcChain>
</file>

<file path=xl/sharedStrings.xml><?xml version="1.0" encoding="utf-8"?>
<sst xmlns="http://schemas.openxmlformats.org/spreadsheetml/2006/main" count="910" uniqueCount="499">
  <si>
    <t>1° Livello</t>
  </si>
  <si>
    <t>PIANO DEI CONTI</t>
  </si>
  <si>
    <t>BUDGET 2025
(A)</t>
  </si>
  <si>
    <t>VERIFICA 1° SEMESTRE 2025
(B)</t>
  </si>
  <si>
    <t>VERIFICA AL 30/09/2025
(B)</t>
  </si>
  <si>
    <t>CHIUSURA PRESUNTA
(B)</t>
  </si>
  <si>
    <t>BILANCIO ESERCIZIO 2025</t>
  </si>
  <si>
    <t>BILANCIO ESERCIZIO 2024</t>
  </si>
  <si>
    <t>SCOSTAMENTO
(C-B)</t>
  </si>
  <si>
    <t>SCOSTAMENTO
(C-A)</t>
  </si>
  <si>
    <r>
      <t xml:space="preserve">SCOSTAMENTO
</t>
    </r>
    <r>
      <rPr>
        <b/>
        <sz val="10"/>
        <rFont val="Calibri"/>
        <family val="2"/>
      </rPr>
      <t xml:space="preserve">(Bilancio-Chiusura)
</t>
    </r>
    <r>
      <rPr>
        <b/>
        <sz val="13"/>
        <rFont val="Calibri"/>
        <family val="2"/>
      </rPr>
      <t>(C-B)</t>
    </r>
  </si>
  <si>
    <t>SCOSTAMENTO
(Bilancio-Budget)
(C-A)</t>
  </si>
  <si>
    <t>NOTE CHIUSURA</t>
  </si>
  <si>
    <t>NOTE 1° semsetre 2024</t>
  </si>
  <si>
    <t>NOTE 1° trimestre 2024</t>
  </si>
  <si>
    <t>dif</t>
  </si>
  <si>
    <t>3) CONTO ECONOMICO</t>
  </si>
  <si>
    <t>A) VALORE DELLA PRODUZIONE</t>
  </si>
  <si>
    <t>I) Ricavi delle vendite e delle prest.</t>
  </si>
  <si>
    <t>R.S.A.</t>
  </si>
  <si>
    <t>Retta sanitaria</t>
  </si>
  <si>
    <t>Retta sanitaria Ospiti P.A.T.</t>
  </si>
  <si>
    <t>-195 gg. di scopertura; +incremento namir non previsto a budget: ad oggi solo n. 1 ospite</t>
  </si>
  <si>
    <t>giorni scopertura: budget 366 / proiezione 229,71 - p.l. Namir: budget 3 - ad oggi 1 - € -7.000,00 di recupero tariffario medico</t>
  </si>
  <si>
    <t>giorni scopertura: budget 366 / proiezione 172 - p.l. Namir: budget 3 - ad oggi 1</t>
  </si>
  <si>
    <t>€ 7.000,00 recupero tariffario medico</t>
  </si>
  <si>
    <t>Retta sanitaria Ospiti fuori P.A.T.</t>
  </si>
  <si>
    <t>a budget considerata tariffa Namir invece che tariffa Nafa</t>
  </si>
  <si>
    <t>a budget considerata anche quota alberghiera</t>
  </si>
  <si>
    <t>Retta alberghiera</t>
  </si>
  <si>
    <t>Retta alberghiera Ospiti UVM</t>
  </si>
  <si>
    <t>media Ospiti: +0,45 (budget: tutte le stanze singole) compreso mantenimento (presenza -0,86; mantenimento +1,31)</t>
  </si>
  <si>
    <t>media Ospiti: +0,33 (budget: tutte le stanze singole)</t>
  </si>
  <si>
    <t>media Ospiti: +0,53 (budget: tutte le stanze singole)</t>
  </si>
  <si>
    <t>Retta alberghiera Ospiti fuori P.A.T.</t>
  </si>
  <si>
    <t>budget: non conteggiata stanza singola</t>
  </si>
  <si>
    <t>Retta alberghiera Ospiti non convenzionati</t>
  </si>
  <si>
    <t>media Ospiti: +1,43 (budget: neanche una stanza singola) compreso mantenimento</t>
  </si>
  <si>
    <t>media Ospiti: +0,99 (budget: neanche una stanza singola)</t>
  </si>
  <si>
    <t>media Ospiti: +0,76 (budget: neanche una stanza singola)</t>
  </si>
  <si>
    <t>Tariffa prest. aggiuntive R.S.A.</t>
  </si>
  <si>
    <t>/7*12</t>
  </si>
  <si>
    <t>Casa di soggiorno</t>
  </si>
  <si>
    <t>Retta alberghiera Ospiti</t>
  </si>
  <si>
    <t>media Ospiti: +1,00</t>
  </si>
  <si>
    <t>media Ospiti: -0,01</t>
  </si>
  <si>
    <t>media Ospiti: uguale</t>
  </si>
  <si>
    <t>Tariffa prest. aggiuntive C.S.</t>
  </si>
  <si>
    <t>Centro Diurno</t>
  </si>
  <si>
    <t>Tariffa pasti Centro Diurno</t>
  </si>
  <si>
    <t>/3*12</t>
  </si>
  <si>
    <t>Tariffa trasporto Centro Diurno</t>
  </si>
  <si>
    <t>Tariffa prest. aggiuntive C.D.</t>
  </si>
  <si>
    <t>podologo</t>
  </si>
  <si>
    <t>Tariffa socio san. utenti Centro Diurno</t>
  </si>
  <si>
    <t>maggior presenze utenti servizio presa in carico</t>
  </si>
  <si>
    <t>Tariffa Centro Diurno a pagamento</t>
  </si>
  <si>
    <t>docce</t>
  </si>
  <si>
    <t>/213*366</t>
  </si>
  <si>
    <t>da file proiezione</t>
  </si>
  <si>
    <t>Servizio pasti</t>
  </si>
  <si>
    <t>Pasti convenzionati</t>
  </si>
  <si>
    <t>Tariffa pasti esterni Comunità di Valle</t>
  </si>
  <si>
    <t>minor numero di pasti erogati</t>
  </si>
  <si>
    <t>Tariffa pasti esterni Lab. Sociale</t>
  </si>
  <si>
    <t>Tariffa pasti esterni CS4</t>
  </si>
  <si>
    <t>maggior numero di pasti erogati</t>
  </si>
  <si>
    <t>Tariffa pasti esterni Cooperativa</t>
  </si>
  <si>
    <t>Pasti privati</t>
  </si>
  <si>
    <t>Rifusione pasti personale</t>
  </si>
  <si>
    <t>Rifusione pasti parenti</t>
  </si>
  <si>
    <t>pranzo Pasqua + cene estate + pranzo Natale: non previsti  budget</t>
  </si>
  <si>
    <t>Pasti diversi</t>
  </si>
  <si>
    <t>elezioni + ballottaggio + referendum + pasti UPIPA</t>
  </si>
  <si>
    <t>/7*12 tenendo conto delle elezioni</t>
  </si>
  <si>
    <t>Servizi ambulatoriali</t>
  </si>
  <si>
    <t>Attività riabilitative per esterni</t>
  </si>
  <si>
    <t>Tariffa att. riabilitative per esterni</t>
  </si>
  <si>
    <t>compreso finanziamento integrativo</t>
  </si>
  <si>
    <t>dati da cruscotto</t>
  </si>
  <si>
    <t>Tariffa att. odontoiatriche per esterni</t>
  </si>
  <si>
    <t>Tariffa att. podologiche per esterni</t>
  </si>
  <si>
    <t>Servizi domiciliari</t>
  </si>
  <si>
    <t>Attività domiciliari</t>
  </si>
  <si>
    <t>Tariffa prestazioni infermieristiche a domicilio</t>
  </si>
  <si>
    <t>Tariffa prestazioni fisioterapiche a domicilio</t>
  </si>
  <si>
    <t>Tariffa noleggio ausili e presidi</t>
  </si>
  <si>
    <t>IV) Increm.immobilizz. per lav. interni</t>
  </si>
  <si>
    <t>Incremento valore immob. per lav. int.</t>
  </si>
  <si>
    <t>V) Altri ricavi e proventi</t>
  </si>
  <si>
    <t>Contributi</t>
  </si>
  <si>
    <t>Contributi in c/capitale</t>
  </si>
  <si>
    <t>Contributi P.A.T. c/fabbricati</t>
  </si>
  <si>
    <t>Contributi P.A.T. c/attrezzature</t>
  </si>
  <si>
    <t>Contributi altri Enti</t>
  </si>
  <si>
    <t>Contributi in conto esercizio</t>
  </si>
  <si>
    <t>incremento onere a carico datore di lavoro Laborfonds dal 01/01/2024 al 31/12/2025 totalmente finanziato:spostato su finanziamento rinnovo contattuale</t>
  </si>
  <si>
    <t>Contributo straordinario PAT ristoro emergenza Covid</t>
  </si>
  <si>
    <t>Contributo caro energia</t>
  </si>
  <si>
    <t>Contributi diversi</t>
  </si>
  <si>
    <t>Finanziamento progetti</t>
  </si>
  <si>
    <t>incidenza: budget € 35.400,00 - chiusura € 47.005,29</t>
  </si>
  <si>
    <t>Altri ricavi e proventi</t>
  </si>
  <si>
    <t>Rimborsi spese personale</t>
  </si>
  <si>
    <t>Rimborso assicurazione INAIL</t>
  </si>
  <si>
    <t>Rimborso personale in comando</t>
  </si>
  <si>
    <t>cessata al 31/05</t>
  </si>
  <si>
    <t>Rimborso personale a scavalco</t>
  </si>
  <si>
    <t>DIR e Sabrina Folgaria - Medico Levico - Stefania Strigno</t>
  </si>
  <si>
    <t>Finanziamento PAT FOREG</t>
  </si>
  <si>
    <t>Finanziamento SANIFONDS</t>
  </si>
  <si>
    <t>Finanziamento PAT rinnovo contrattuale</t>
  </si>
  <si>
    <t>DA VERIFICARE ONERI LABORFONDS PER EURO 98.935,95 (tolti)</t>
  </si>
  <si>
    <t>488.817,50 aumento contrattuale + 179.784,13 arretrati progressioni</t>
  </si>
  <si>
    <t>Rimborsi spese</t>
  </si>
  <si>
    <t>Rimborso spese farmaci e ossigeno</t>
  </si>
  <si>
    <t>uguale alla spesa</t>
  </si>
  <si>
    <t>Rimborso spese presidi sanitari</t>
  </si>
  <si>
    <t>Rimborso spese ass. medico-specialistica</t>
  </si>
  <si>
    <t>Rimborso spese varie</t>
  </si>
  <si>
    <t>oneri di gestione vari - TrentinoSolidale+Persen+IVS+rimborso farmacista</t>
  </si>
  <si>
    <t>v/oneri di gestione vari (TrentinoSolidale+Persen+rimb. Concorsi DA INSERIRE)</t>
  </si>
  <si>
    <t>Rimborso acquisto farmaci</t>
  </si>
  <si>
    <t>Rimborso spese ass. medico-generica</t>
  </si>
  <si>
    <t>*2</t>
  </si>
  <si>
    <t>Rimborso danni Ospiti</t>
  </si>
  <si>
    <t>Rimborso spese utilizzo sale</t>
  </si>
  <si>
    <t>Rimborso da assicurazione</t>
  </si>
  <si>
    <t>Stanga parcheggio / sinistro dipendente</t>
  </si>
  <si>
    <t>Tentato furto Via Marconi</t>
  </si>
  <si>
    <t>Rimborso spese bollo</t>
  </si>
  <si>
    <t>Rimborso Occhio alla Salute</t>
  </si>
  <si>
    <t>acquisto lettino + rendicontazione</t>
  </si>
  <si>
    <t>confermato budget</t>
  </si>
  <si>
    <t>Ricavi diversi</t>
  </si>
  <si>
    <t>Quote adesione a concorsi</t>
  </si>
  <si>
    <t>ad oggi</t>
  </si>
  <si>
    <t>no Comune Pergine Doni sotto l'Albero</t>
  </si>
  <si>
    <t>confermato budget + penali Ricci</t>
  </si>
  <si>
    <t>Arrotondamenti attivi</t>
  </si>
  <si>
    <t>Quota adesione convegni e corsi di form.</t>
  </si>
  <si>
    <t>Sopravv. attive in gestione ordinaria</t>
  </si>
  <si>
    <t>maggior incasso 3.3D 2024 - minor ore contrattuale Pulinet anni 2021-2024 - oneri su bonus Covid finanziati dalla PAT non previsti in chiusura</t>
  </si>
  <si>
    <t>Lasciti e donazioni</t>
  </si>
  <si>
    <t>B) COSTI DELLA PRODUZIONE</t>
  </si>
  <si>
    <t>I) Consumo di beni e materiali</t>
  </si>
  <si>
    <t>Acquisto di beni</t>
  </si>
  <si>
    <t>Acq. beni sanitario assistenziali</t>
  </si>
  <si>
    <t>Farmaci e materiale sanitario</t>
  </si>
  <si>
    <t>Presidi per incontinenza</t>
  </si>
  <si>
    <t>sconteranno € 21.449,96 sul 2026</t>
  </si>
  <si>
    <t>a budget non previsto aumento prezzo - tenuto conto eccedenza 2023 da scalare (7.603,17)</t>
  </si>
  <si>
    <t>Prodotti per igiene personale</t>
  </si>
  <si>
    <t>maggior consumo prodotti Essity - piantane e prodotti Ferruzzi</t>
  </si>
  <si>
    <t>parrucchiera risconto 2025? - maggior spesa Farmoder e Ica</t>
  </si>
  <si>
    <t>Attrezzature sanitarie e assistenziali</t>
  </si>
  <si>
    <t>Fornitura farmaci e ossigeno APSS</t>
  </si>
  <si>
    <t>uguale all'entrata</t>
  </si>
  <si>
    <t>dato al 30/06 moltiplicato per due</t>
  </si>
  <si>
    <t>Fornitura presidi sanitari APSS</t>
  </si>
  <si>
    <t>Acquisto DPI</t>
  </si>
  <si>
    <t>ad oggi non acquistato niente</t>
  </si>
  <si>
    <t>riserva semestrale</t>
  </si>
  <si>
    <t>Acq. beni alberghieri</t>
  </si>
  <si>
    <t>Generi alimentari</t>
  </si>
  <si>
    <t>da cruscotto</t>
  </si>
  <si>
    <t>Detersivi e mat. pulizia locali e cucina</t>
  </si>
  <si>
    <t>Detersivi per lavanderia</t>
  </si>
  <si>
    <t>da metà maggio nuovo contratto: prezzo diminuito</t>
  </si>
  <si>
    <t>dal 01/08/2023: +133,33% aumento prezzo</t>
  </si>
  <si>
    <t>Stoviglie e articoli cucina</t>
  </si>
  <si>
    <t>maggiori acquisti BDM e Morelli</t>
  </si>
  <si>
    <t>Biancheria, effetti letterecci e tovagliato</t>
  </si>
  <si>
    <t>maggior acquisto di biancheria piana e acquisto bavaglie</t>
  </si>
  <si>
    <t>Attrezzature e materiale vario</t>
  </si>
  <si>
    <t>acquisto ventilatori + cornici per antincendio + porta documneti testaletto (11.261,79)</t>
  </si>
  <si>
    <t>Acquisti diversi</t>
  </si>
  <si>
    <t>Materiale manutenzione varia</t>
  </si>
  <si>
    <t>Divise per il personale</t>
  </si>
  <si>
    <t>Carburante e lubrificanti</t>
  </si>
  <si>
    <t>Cancelleria</t>
  </si>
  <si>
    <t>bandiere + vino santo + fiori cimitero</t>
  </si>
  <si>
    <t>ad oggi euro 0,00 - nel 2023 budge</t>
  </si>
  <si>
    <t>Acquisti e spese per attività animative</t>
  </si>
  <si>
    <t>Doni sotto l'Albero</t>
  </si>
  <si>
    <t>lettura albi</t>
  </si>
  <si>
    <t>Acquisti diversi per Centro Diurno</t>
  </si>
  <si>
    <t>Variazioni delle rimanenze</t>
  </si>
  <si>
    <t>Rimanenze farmaci e materiale sanitario</t>
  </si>
  <si>
    <t>Rim. iniziali farmaci e mat. sanitario</t>
  </si>
  <si>
    <t>Rim. finali farmaci e mat. sanitario</t>
  </si>
  <si>
    <t>Rimanenze presidi incontinenza</t>
  </si>
  <si>
    <t>Rim. iniziali presidi incontinenza</t>
  </si>
  <si>
    <t>Rim. finali presidi incontinenza</t>
  </si>
  <si>
    <t>Rimanenze deter. e mat. pul. e prod. ig.</t>
  </si>
  <si>
    <t>Rim. iniz. deter. e mat. pul. e prod. ig</t>
  </si>
  <si>
    <t>Rim. fin. deter. e mat. pul. e prod. ig.</t>
  </si>
  <si>
    <t>Rimanenze generi alimentari</t>
  </si>
  <si>
    <t>Rim. iniziali generi alimentari</t>
  </si>
  <si>
    <t>Rim. finali generi alimentari</t>
  </si>
  <si>
    <t>Rimanenze materiali diversi</t>
  </si>
  <si>
    <t>Rim. iniziali materiali diversi</t>
  </si>
  <si>
    <t>Rim. finali materiali diversi</t>
  </si>
  <si>
    <t>Rimanenze DPI</t>
  </si>
  <si>
    <t>Rim. iniziali DPI</t>
  </si>
  <si>
    <t>NEL BUDGET 2025 INDICATE RIM. INIZIALI ERRATE: € 61.390,48 ANZICHE' € 20.184,22</t>
  </si>
  <si>
    <t>NEL BUDGET 2024 INDICATE RIM. INIZIALI ERRATE: € 54.200,00 ANZICHE' € 61.390,48</t>
  </si>
  <si>
    <t>iniziali effettive</t>
  </si>
  <si>
    <t>Rim. Finali DPI</t>
  </si>
  <si>
    <t>II) Servizi</t>
  </si>
  <si>
    <t>finali per far diventare i 9.200,00</t>
  </si>
  <si>
    <t>Servizi di assistenza alla persona</t>
  </si>
  <si>
    <t>Compensi serv. assistenza alla persona</t>
  </si>
  <si>
    <t>Servizio medico</t>
  </si>
  <si>
    <t>Servizio infermieristico</t>
  </si>
  <si>
    <t>I.P. servizio notte passive + liberi professionisti per turnistica</t>
  </si>
  <si>
    <t>I.P. servizio notte passive</t>
  </si>
  <si>
    <t>Servizio podologico</t>
  </si>
  <si>
    <t>Servizio trasporto</t>
  </si>
  <si>
    <t>Servizio di assistenza religiosa</t>
  </si>
  <si>
    <t>lezionari messe</t>
  </si>
  <si>
    <t>Servizio socio-animativo-occupazionale</t>
  </si>
  <si>
    <t>conclusione anticipata del contratto</t>
  </si>
  <si>
    <t>importo previsto a determina</t>
  </si>
  <si>
    <t>Servizio odontoiatrico</t>
  </si>
  <si>
    <t>Servizio psicologico</t>
  </si>
  <si>
    <t>Altri servizi di assistenza alla persona</t>
  </si>
  <si>
    <t>incidenza budget</t>
  </si>
  <si>
    <t>Servizio fisioterapico</t>
  </si>
  <si>
    <t>Servizio logopedista</t>
  </si>
  <si>
    <t>minor ore rispetto al preventivato</t>
  </si>
  <si>
    <t>incidenza chiusura</t>
  </si>
  <si>
    <t>Costo retta RSA Covid</t>
  </si>
  <si>
    <t>Farmacista</t>
  </si>
  <si>
    <t>non previsto a budget</t>
  </si>
  <si>
    <t>Dietista</t>
  </si>
  <si>
    <t>Oneri sociali serv. assist. alla persona</t>
  </si>
  <si>
    <t>Oneri sociali INPS</t>
  </si>
  <si>
    <t>Servizi in appalto</t>
  </si>
  <si>
    <t>Appalto pulizie</t>
  </si>
  <si>
    <t>pulizia straordinaria 2° piano</t>
  </si>
  <si>
    <t>vari adeguamenti canoni + pulizie straordinarie</t>
  </si>
  <si>
    <t>5.404,60+902,80+3.050,00 = 9.357,40 pulizie straordinarie</t>
  </si>
  <si>
    <t>Appalto lavanderia</t>
  </si>
  <si>
    <t>dal 01/09 nuovo contratto</t>
  </si>
  <si>
    <t>Appalto servizio trasporto</t>
  </si>
  <si>
    <t>Appalto servizio trasporto pasti</t>
  </si>
  <si>
    <t>Appalto servizio smaltimento rifiuti</t>
  </si>
  <si>
    <t>Appalto servizio pulizie aree esterne</t>
  </si>
  <si>
    <t>Appalto servizio lav. vestiario Ospiti</t>
  </si>
  <si>
    <t>Appalto multiservizi</t>
  </si>
  <si>
    <t>minor numero di ore</t>
  </si>
  <si>
    <t>1 semestre x 2</t>
  </si>
  <si>
    <t>Manutenzioni</t>
  </si>
  <si>
    <t>Manutenzione fabbricati</t>
  </si>
  <si>
    <t>fatturato al 22/08 + quota competenza tinteggiatura+ 2.000,00 varie ed eventuali</t>
  </si>
  <si>
    <t>Manutenzione giardino e piante</t>
  </si>
  <si>
    <t>Manutenzione automezzi</t>
  </si>
  <si>
    <t>(anno 2024: riparazione turbnia Crafter euro 2.429,67 - riparazione gradino 1.118,74 - scalino 2.217,96 - pneumatici neve)</t>
  </si>
  <si>
    <t>/7*12 - riparazione turbnia Crafter euro 2.429,67 - riparazione gradino 1.118,74</t>
  </si>
  <si>
    <t>Manutenzione attrezzature e arredi</t>
  </si>
  <si>
    <t>intervento Estfeller / maggior manutenzione Molinari / maggior noleggio / riparaizone cuocisalsa</t>
  </si>
  <si>
    <t>Manutenzione macchine ufficio</t>
  </si>
  <si>
    <t>Manutenz. e canoni assistenza hardware</t>
  </si>
  <si>
    <t>no termo scanner</t>
  </si>
  <si>
    <t>Manutenz. e canoni assistenza software</t>
  </si>
  <si>
    <t>ore extra Paolino + software server costo maggiore</t>
  </si>
  <si>
    <t>Manutenzione beni di terzi</t>
  </si>
  <si>
    <t>Manutenzione impianti</t>
  </si>
  <si>
    <t>intervento su cancello-lampade sala polivalente-pezzi di ricambio ossigeno - sostituzione pompa</t>
  </si>
  <si>
    <t>ALISEA: 2.074,00 - ENDURANCE: 11.434,50 - SCHINDLER: 2.935,44 - LAGARINA: 7.817,98 (magneti - agg.centralina)</t>
  </si>
  <si>
    <t>Utenze</t>
  </si>
  <si>
    <t>Telefono</t>
  </si>
  <si>
    <t>Energia elettrica</t>
  </si>
  <si>
    <t>conguaglio energia verde 2024-2025 (sentita Dolomiti Energia)</t>
  </si>
  <si>
    <t>/7*12 - maggior consumo e maggior costo</t>
  </si>
  <si>
    <t>Gas metano</t>
  </si>
  <si>
    <t>Acqua</t>
  </si>
  <si>
    <t>1° semestre x 2</t>
  </si>
  <si>
    <t>Rifiuti solidi urbani</t>
  </si>
  <si>
    <t>Smaltimento rifiuti speciali</t>
  </si>
  <si>
    <t>Teleriscaldamento</t>
  </si>
  <si>
    <t>Teleraffrescamento</t>
  </si>
  <si>
    <t>Consulenze e collaborazioni</t>
  </si>
  <si>
    <t>Consulenze</t>
  </si>
  <si>
    <t>Consulenze specialistiche mediche</t>
  </si>
  <si>
    <t>Consulenze tecniche</t>
  </si>
  <si>
    <t>Consulenze igiene e sicurezza</t>
  </si>
  <si>
    <t>valutazione rumori e vibrazione-movim. manuale carichi e rischio microclima estivo-Aggiornamento piano haccp-dietista</t>
  </si>
  <si>
    <t>da file conteggi</t>
  </si>
  <si>
    <t>Consulenze informatiche</t>
  </si>
  <si>
    <t>Consulenze amministrative e gestionali</t>
  </si>
  <si>
    <t>Tomio</t>
  </si>
  <si>
    <t>Consulenze gestione qualità</t>
  </si>
  <si>
    <t>Consulenze formazione</t>
  </si>
  <si>
    <t>Consulenze legali</t>
  </si>
  <si>
    <t>Consulenze progetti innovativi</t>
  </si>
  <si>
    <t>Consulenze privacy</t>
  </si>
  <si>
    <t>DPO</t>
  </si>
  <si>
    <t>Consulenze istituzionali</t>
  </si>
  <si>
    <t>consulenza per consolidamento Family Audit</t>
  </si>
  <si>
    <t>Collaborazioni</t>
  </si>
  <si>
    <t>Prestazioni occasionali</t>
  </si>
  <si>
    <t>verifica agibiltà stanza</t>
  </si>
  <si>
    <t>Comitati</t>
  </si>
  <si>
    <t>Comitato etico</t>
  </si>
  <si>
    <t>non attivato nel corso del 2025</t>
  </si>
  <si>
    <t>per anno 2024 non previsto</t>
  </si>
  <si>
    <t>Organi istituzionali</t>
  </si>
  <si>
    <t>Organi isituzionali</t>
  </si>
  <si>
    <t>Compensi indennità amministratori</t>
  </si>
  <si>
    <t>Oneri sociali amministratori</t>
  </si>
  <si>
    <t>Inail amministratori</t>
  </si>
  <si>
    <t>Compensi revisori dei conti</t>
  </si>
  <si>
    <t>Oneri sociali revisori dei conti</t>
  </si>
  <si>
    <t>Inail revisori dei conti</t>
  </si>
  <si>
    <t>Rimborso spese amministratori</t>
  </si>
  <si>
    <t>Spese formazione amministratori</t>
  </si>
  <si>
    <t>Servizi diversi</t>
  </si>
  <si>
    <t>Assicurazioni</t>
  </si>
  <si>
    <t>previsto regolazione premio di euro 4.200,00 come anno scorso</t>
  </si>
  <si>
    <t>Spese per concorsi</t>
  </si>
  <si>
    <t>Altre spese per servizi</t>
  </si>
  <si>
    <t>Spese per gare ed appalti</t>
  </si>
  <si>
    <t>supporto gara pulizie</t>
  </si>
  <si>
    <t>confermato budget - vedi con Selene - ad oggi euro 70,00</t>
  </si>
  <si>
    <t>Spese per certificazione e qualità</t>
  </si>
  <si>
    <t>marchio Q&amp;B - Dasa - Family Audit - valutatore</t>
  </si>
  <si>
    <t>marchio Q&amp;B - Indicare Salute - Dasa - Family Audit</t>
  </si>
  <si>
    <t>Spese per servizi diversi</t>
  </si>
  <si>
    <t>accatastamento area parcheggio</t>
  </si>
  <si>
    <t>Spese per Servizio Occhio alla Salute</t>
  </si>
  <si>
    <t>Spese per adesione Ufficio Gare Consortile UPIPA</t>
  </si>
  <si>
    <t>VIII) Godimento di beni di terzi</t>
  </si>
  <si>
    <t>Godimento di beni di terzi</t>
  </si>
  <si>
    <t>Affitto e noleggio beni mobili</t>
  </si>
  <si>
    <t>Noleggio autovetture</t>
  </si>
  <si>
    <t>Noleggio attrezzature diverse</t>
  </si>
  <si>
    <t>Locazione finanziaria</t>
  </si>
  <si>
    <t>Canoni leasing</t>
  </si>
  <si>
    <t>IV) Costo per il personale</t>
  </si>
  <si>
    <t>budget: previste n. 228,08 unità - proiezione: n. 219,28 unità: € -358.952,68</t>
  </si>
  <si>
    <t>budget: previste n. 228,08 unità - proiezione: n. 219,24 unità: € -334.630,46</t>
  </si>
  <si>
    <t>a) Salari e stipendi</t>
  </si>
  <si>
    <t>FOREG (conteggio corretto / 0,5 / oneri): € + 49.543,11</t>
  </si>
  <si>
    <t>Stipendi personale</t>
  </si>
  <si>
    <t>vedi conteggio altro file</t>
  </si>
  <si>
    <t>b) Oneri sociali</t>
  </si>
  <si>
    <t>Oneri sociali stipendi personale</t>
  </si>
  <si>
    <t>Oneri sociali</t>
  </si>
  <si>
    <t>PROGRESSIONI</t>
  </si>
  <si>
    <t>Oneri sociali costi straord. personale</t>
  </si>
  <si>
    <t>Oneri sociali fondo produttività</t>
  </si>
  <si>
    <t>Oneri sociali lavoro straordinario</t>
  </si>
  <si>
    <t>Oneri sociali personale cessato</t>
  </si>
  <si>
    <t>c) Trattamento di fine rapporto</t>
  </si>
  <si>
    <t>T.F.R. personale</t>
  </si>
  <si>
    <t>in base al coefficiente</t>
  </si>
  <si>
    <t>e) Altri costi</t>
  </si>
  <si>
    <t>Altri costi personale</t>
  </si>
  <si>
    <t>Spese per visite mediche dipendenti</t>
  </si>
  <si>
    <t>Spese per formazione del personale</t>
  </si>
  <si>
    <t>Rimborso iscrizione albo professionale</t>
  </si>
  <si>
    <t>Lavoro straordinario</t>
  </si>
  <si>
    <t>Indennità e rimborsi spese personale</t>
  </si>
  <si>
    <t>Rimborsi distacchi sindacali</t>
  </si>
  <si>
    <t>Contrib. per f.do pensione complementare</t>
  </si>
  <si>
    <t>incremento onere a carico datore di lavoro Laborfonds dal 01/01/2024 al 30/09/2025 totalmente finanziato; più iscritti</t>
  </si>
  <si>
    <t>Spesa progetti innovativi</t>
  </si>
  <si>
    <t>Indicare Salute</t>
  </si>
  <si>
    <t>Sanifonds</t>
  </si>
  <si>
    <t>Personale in comando</t>
  </si>
  <si>
    <t>Spese per servizi in forma associata</t>
  </si>
  <si>
    <t>APSP Folgaria</t>
  </si>
  <si>
    <t>V) Ammortamenti e svalutazioni</t>
  </si>
  <si>
    <t>incidenza chiusura 139.115,96</t>
  </si>
  <si>
    <t>incidenza costo budget 115.500,00</t>
  </si>
  <si>
    <t>Ammortamenti</t>
  </si>
  <si>
    <t xml:space="preserve"> incidenza costo budget 138.500,00</t>
  </si>
  <si>
    <t>incidenza costo chiusura presunta 124.800</t>
  </si>
  <si>
    <t>a) Ammortamento immobil. immateriali</t>
  </si>
  <si>
    <t>Amm.to costi di impianto</t>
  </si>
  <si>
    <t>Amm.to costi di ampliamento</t>
  </si>
  <si>
    <t>Amm.to manut. straord. su beni di terzi</t>
  </si>
  <si>
    <t>Amm.to manut. straord. su beni propri</t>
  </si>
  <si>
    <t>Amm.to costi di pubblicità pluriennali</t>
  </si>
  <si>
    <t>Amm.to software e licenze</t>
  </si>
  <si>
    <t>b) Ammortamento immobil. materiali</t>
  </si>
  <si>
    <t>Ammortamento fabbricati istituzionali</t>
  </si>
  <si>
    <t>Ammortamento fabbricati abitativi</t>
  </si>
  <si>
    <t>Ammortamento impianti e macch. specifici</t>
  </si>
  <si>
    <t>Ammortamento impianti e macch. generici</t>
  </si>
  <si>
    <t>rilevatori di fumo</t>
  </si>
  <si>
    <t>Ammortamento terreni</t>
  </si>
  <si>
    <t>Ammortamento attrezzatura sanitaria</t>
  </si>
  <si>
    <t>Ammortamento attrezzatura assistenziale</t>
  </si>
  <si>
    <t>imbragature - vasca clinica</t>
  </si>
  <si>
    <t>Ammortamento attrezzatura fisioterapica</t>
  </si>
  <si>
    <t>Ammortamento attrezzatura cucina</t>
  </si>
  <si>
    <t>cucinatore - espositori - lavelli</t>
  </si>
  <si>
    <t>Amm.to attr. guardaroba-lavanderia</t>
  </si>
  <si>
    <t>Ammortamento attrezzatura varia</t>
  </si>
  <si>
    <t>Ammortamento mobili e arredi</t>
  </si>
  <si>
    <t>letti - box doccia - branda - corrimano - gazebo - scrivania</t>
  </si>
  <si>
    <t>Ammortamento mobili e arredi cucina</t>
  </si>
  <si>
    <t>Ammortamento mobili e arredi ufficio</t>
  </si>
  <si>
    <t>Ammortamento macchine ordin. d'ufficio</t>
  </si>
  <si>
    <t>Ammortamento macchine elettr. d'ufficio</t>
  </si>
  <si>
    <t>Ammortamento biancheria</t>
  </si>
  <si>
    <t>Amm.to automezzi e veicoli da trasporto</t>
  </si>
  <si>
    <t>Ammortamento altri beni materiali</t>
  </si>
  <si>
    <t>Ammortamento attrezzatura tecnica</t>
  </si>
  <si>
    <t>VI) Accantonamenti per rischi</t>
  </si>
  <si>
    <t>Accantonamento svalutazione crediti</t>
  </si>
  <si>
    <t>Stenico Adele (Ospite deceduta nel 2014)</t>
  </si>
  <si>
    <t>Accantonamento per rischi diversi</t>
  </si>
  <si>
    <t>Acc.to per rischi controversie legali</t>
  </si>
  <si>
    <t>Campello</t>
  </si>
  <si>
    <t>Acc.to per rischi diversi</t>
  </si>
  <si>
    <t>mancato contributo sistema infermiere</t>
  </si>
  <si>
    <t>Acc.to f.do integraz. rette (art. 7 bis)</t>
  </si>
  <si>
    <t>Acc.to rischi recupero forniture APSS</t>
  </si>
  <si>
    <t>Accantonamento retribuzioni incentivanti ex art. 5 bis L.P. 2/2016</t>
  </si>
  <si>
    <t>Retribuzioni incentivanti spettanti al personale (0,50% del valore dei CIG anno 2025)</t>
  </si>
  <si>
    <t>Accantonamenti oneri personale</t>
  </si>
  <si>
    <t>Acc.to fondo produttività</t>
  </si>
  <si>
    <t>Acc.to rinnovo contrattuale</t>
  </si>
  <si>
    <t>Acc.to progressioni orizzontali</t>
  </si>
  <si>
    <t>Accantonamento FOREG</t>
  </si>
  <si>
    <t>0,5% del monte salari</t>
  </si>
  <si>
    <t>Accantonamento quote TFS-INADEL posizioni organizzative</t>
  </si>
  <si>
    <t>Accantonamenti diversi</t>
  </si>
  <si>
    <t>Acc.to manutenzioni straordinarie</t>
  </si>
  <si>
    <t>XIV) Oneri diversi di gestione</t>
  </si>
  <si>
    <t>Oneri diversi di gestione</t>
  </si>
  <si>
    <t>Imposte e tasse</t>
  </si>
  <si>
    <t>Imposta di bollo</t>
  </si>
  <si>
    <t>Imposta di registro</t>
  </si>
  <si>
    <t>imposta registro successione Fuoli</t>
  </si>
  <si>
    <t>Tasse di circolazione automezzi</t>
  </si>
  <si>
    <t>Iva indetraibile pro-rata</t>
  </si>
  <si>
    <t>Tassa di concessione governativa</t>
  </si>
  <si>
    <t>Imposte e tasse diverse</t>
  </si>
  <si>
    <t>Altri oneri di gestione</t>
  </si>
  <si>
    <t>Spese di rappresentanza</t>
  </si>
  <si>
    <t>risconto Volume Tomba Montel</t>
  </si>
  <si>
    <t>Oneri bancari</t>
  </si>
  <si>
    <t>maggiori commissioni Nexi</t>
  </si>
  <si>
    <t>Giornali, riviste e pubblicazioni</t>
  </si>
  <si>
    <t>Quota adesione associazioni di categoria</t>
  </si>
  <si>
    <t>Arrotondamenti passivi</t>
  </si>
  <si>
    <t>Perdite su crediti</t>
  </si>
  <si>
    <t>Oneri di gestione vari</t>
  </si>
  <si>
    <t>verificare con Lucia (oneri e rimborsi) - (/7*12)</t>
  </si>
  <si>
    <t>Spese per valori bollati</t>
  </si>
  <si>
    <t>Spese risarcimento danni Ospiti</t>
  </si>
  <si>
    <t>confermato budget - ad oggi euro 1.204,88</t>
  </si>
  <si>
    <t>Spese legali</t>
  </si>
  <si>
    <t>successione: il resto caricato sul 2026</t>
  </si>
  <si>
    <t>Sopravv. passive in gestione ordinaria</t>
  </si>
  <si>
    <t>ad oggi: indennità presidente e vicepresidente anni 2022-2023-2024</t>
  </si>
  <si>
    <t>ad oggi: servizio tesoreria 01/05/2023-31/12/2023</t>
  </si>
  <si>
    <t>Insussistenza dell'attivo in gestione ordinaria</t>
  </si>
  <si>
    <t>minor quota rimborso APSP Folgaria Foreg</t>
  </si>
  <si>
    <t>DIFFERENZA tra VALORE e COSTI di PRODUZIONE (A-B)</t>
  </si>
  <si>
    <t>C) PROVENTI ED ONERI FINANZIARI</t>
  </si>
  <si>
    <t>XVI) Proventi finanziari</t>
  </si>
  <si>
    <t>Proventi finanziari</t>
  </si>
  <si>
    <t>Proventi da partecipazioni</t>
  </si>
  <si>
    <t>Dividendi</t>
  </si>
  <si>
    <t>Interessi attivi su conto corrente</t>
  </si>
  <si>
    <t>1°e 2° trimestre € 24.740,45</t>
  </si>
  <si>
    <t>1° trimestre € 13.264,23</t>
  </si>
  <si>
    <t>Interessi attivi da titoli ed obbligaz.</t>
  </si>
  <si>
    <t>Plusvalenza da vendita titoli</t>
  </si>
  <si>
    <t>Proventi da rivalutaz. gestione patrim.</t>
  </si>
  <si>
    <t>Aggio su acquisto titoli</t>
  </si>
  <si>
    <t>XVII) Int. ed altri oneri finanziari</t>
  </si>
  <si>
    <t>Interessi passivi</t>
  </si>
  <si>
    <t>Interessi passivi su mutui</t>
  </si>
  <si>
    <t>Interessi passivi bancari</t>
  </si>
  <si>
    <t>Altri interessi passivi</t>
  </si>
  <si>
    <t>Interessi passivi fornitori</t>
  </si>
  <si>
    <t>interessi su contributo energia PAT</t>
  </si>
  <si>
    <t>Altri oneri finanziari</t>
  </si>
  <si>
    <t>Minusvalenze da alienazione titoli</t>
  </si>
  <si>
    <t>Disaggio di acquisto titoli</t>
  </si>
  <si>
    <t>RISULTATO PRIMA DELLE IMPOSTE</t>
  </si>
  <si>
    <t>F) IMPOSTE SUL REDDITO DELL'ESERCIZIO</t>
  </si>
  <si>
    <t>Imposte sul reddito dell'esercizio</t>
  </si>
  <si>
    <t>IRES</t>
  </si>
  <si>
    <t>G) UTILE (PERDITA) DELL'ESERCIZIO</t>
  </si>
  <si>
    <t>Utile (Perdita) dell'esercizio</t>
  </si>
  <si>
    <t>Utile dell'esercizio</t>
  </si>
  <si>
    <t>Utile dell'esercizio economico</t>
  </si>
  <si>
    <t>Perdita dell'esercizio</t>
  </si>
  <si>
    <t>Perdita dell'esercizio ecomonico</t>
  </si>
  <si>
    <t>IL SEGRETARIO VERBALIZZANTE</t>
  </si>
  <si>
    <t>- dott. Giovanni Bertoldi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</si>
</sst>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[$€-410]_-;\-* #,##0.00\ [$€-410]_-;_-* &quot;-&quot;??\ [$€-410]_-;_-@_-"/>
    <numFmt numFmtId="166" formatCode="_-&quot;€&quot;\ * #,##0.00_-;\-&quot;€&quot;\ * #,##0.00_-;_-&quot;€&quot;\ * &quot;-&quot;??_-;_-@_-"/>
  </numFmts>
  <fonts count="16" x14ac:knownFonts="1">
    <font>
      <sz val="10"/>
      <name val="Arial"/>
    </font>
    <font>
      <b/>
      <sz val="11"/>
      <color theme="1"/>
      <name val="Calibri"/>
      <family val="2"/>
      <scheme val="minor"/>
    </font>
    <font>
      <b/>
      <sz val="13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sz val="13"/>
      <name val="Calibri"/>
      <family val="2"/>
    </font>
    <font>
      <b/>
      <i/>
      <sz val="13"/>
      <name val="Calibri"/>
      <family val="2"/>
    </font>
    <font>
      <i/>
      <sz val="13"/>
      <name val="Calibri"/>
      <family val="2"/>
    </font>
    <font>
      <i/>
      <sz val="11"/>
      <name val="Calibri"/>
      <family val="2"/>
    </font>
    <font>
      <i/>
      <sz val="10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9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129">
    <xf numFmtId="0" fontId="0" fillId="0" borderId="0" xfId="0"/>
    <xf numFmtId="49" fontId="2" fillId="2" borderId="1" xfId="0" applyNumberFormat="1" applyFont="1" applyFill="1" applyBorder="1" applyAlignment="1">
      <alignment horizontal="center" vertical="center"/>
    </xf>
    <xf numFmtId="44" fontId="2" fillId="3" borderId="1" xfId="0" applyNumberFormat="1" applyFont="1" applyFill="1" applyBorder="1" applyAlignment="1">
      <alignment horizontal="center" vertical="center" wrapText="1"/>
    </xf>
    <xf numFmtId="44" fontId="3" fillId="4" borderId="1" xfId="0" applyNumberFormat="1" applyFont="1" applyFill="1" applyBorder="1" applyAlignment="1">
      <alignment horizontal="center" vertical="center" wrapText="1"/>
    </xf>
    <xf numFmtId="44" fontId="2" fillId="4" borderId="1" xfId="0" applyNumberFormat="1" applyFont="1" applyFill="1" applyBorder="1" applyAlignment="1">
      <alignment horizontal="center" vertical="center" wrapText="1"/>
    </xf>
    <xf numFmtId="44" fontId="5" fillId="4" borderId="1" xfId="0" applyNumberFormat="1" applyFont="1" applyFill="1" applyBorder="1" applyAlignment="1">
      <alignment horizontal="center" vertical="center" wrapText="1"/>
    </xf>
    <xf numFmtId="44" fontId="4" fillId="4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49" fontId="2" fillId="5" borderId="1" xfId="0" applyNumberFormat="1" applyFont="1" applyFill="1" applyBorder="1" applyAlignment="1">
      <alignment vertical="center"/>
    </xf>
    <xf numFmtId="49" fontId="7" fillId="5" borderId="1" xfId="0" applyNumberFormat="1" applyFont="1" applyFill="1" applyBorder="1" applyAlignment="1">
      <alignment vertical="center"/>
    </xf>
    <xf numFmtId="44" fontId="2" fillId="5" borderId="1" xfId="0" applyNumberFormat="1" applyFont="1" applyFill="1" applyBorder="1" applyAlignment="1">
      <alignment vertical="center"/>
    </xf>
    <xf numFmtId="44" fontId="8" fillId="5" borderId="1" xfId="0" applyNumberFormat="1" applyFont="1" applyFill="1" applyBorder="1" applyAlignment="1">
      <alignment vertical="center"/>
    </xf>
    <xf numFmtId="44" fontId="9" fillId="6" borderId="1" xfId="0" applyNumberFormat="1" applyFont="1" applyFill="1" applyBorder="1" applyAlignment="1">
      <alignment vertical="center"/>
    </xf>
    <xf numFmtId="44" fontId="9" fillId="0" borderId="1" xfId="0" applyNumberFormat="1" applyFont="1" applyBorder="1" applyAlignment="1">
      <alignment vertical="center"/>
    </xf>
    <xf numFmtId="44" fontId="8" fillId="0" borderId="1" xfId="0" applyNumberFormat="1" applyFont="1" applyBorder="1" applyAlignment="1">
      <alignment vertical="center"/>
    </xf>
    <xf numFmtId="44" fontId="10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44" fontId="8" fillId="0" borderId="0" xfId="0" applyNumberFormat="1" applyFont="1" applyAlignment="1">
      <alignment vertical="center"/>
    </xf>
    <xf numFmtId="49" fontId="2" fillId="0" borderId="1" xfId="0" applyNumberFormat="1" applyFont="1" applyBorder="1" applyAlignment="1">
      <alignment vertical="center"/>
    </xf>
    <xf numFmtId="49" fontId="2" fillId="7" borderId="2" xfId="0" applyNumberFormat="1" applyFont="1" applyFill="1" applyBorder="1" applyAlignment="1">
      <alignment vertical="center"/>
    </xf>
    <xf numFmtId="49" fontId="2" fillId="5" borderId="3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4" fontId="2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44" fontId="6" fillId="0" borderId="1" xfId="0" quotePrefix="1" applyNumberFormat="1" applyFont="1" applyBorder="1" applyAlignment="1">
      <alignment horizontal="justify" vertical="center" wrapText="1"/>
    </xf>
    <xf numFmtId="44" fontId="11" fillId="0" borderId="1" xfId="0" quotePrefix="1" applyNumberFormat="1" applyFont="1" applyBorder="1" applyAlignment="1">
      <alignment horizontal="justify" vertical="center" wrapText="1"/>
    </xf>
    <xf numFmtId="44" fontId="11" fillId="0" borderId="1" xfId="0" applyNumberFormat="1" applyFont="1" applyBorder="1" applyAlignment="1">
      <alignment vertical="center" wrapText="1"/>
    </xf>
    <xf numFmtId="0" fontId="6" fillId="8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44" fontId="11" fillId="0" borderId="1" xfId="0" applyNumberFormat="1" applyFont="1" applyBorder="1" applyAlignment="1">
      <alignment vertical="center"/>
    </xf>
    <xf numFmtId="44" fontId="9" fillId="0" borderId="1" xfId="0" quotePrefix="1" applyNumberFormat="1" applyFont="1" applyBorder="1" applyAlignment="1">
      <alignment vertical="center"/>
    </xf>
    <xf numFmtId="44" fontId="11" fillId="0" borderId="1" xfId="0" quotePrefix="1" applyNumberFormat="1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49" fontId="8" fillId="0" borderId="1" xfId="0" applyNumberFormat="1" applyFont="1" applyBorder="1" applyAlignment="1">
      <alignment vertical="center"/>
    </xf>
    <xf numFmtId="49" fontId="8" fillId="0" borderId="2" xfId="0" applyNumberFormat="1" applyFont="1" applyBorder="1" applyAlignment="1">
      <alignment vertical="center"/>
    </xf>
    <xf numFmtId="49" fontId="8" fillId="0" borderId="4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vertical="center"/>
    </xf>
    <xf numFmtId="49" fontId="6" fillId="0" borderId="2" xfId="0" applyNumberFormat="1" applyFont="1" applyBorder="1" applyAlignment="1">
      <alignment vertical="center"/>
    </xf>
    <xf numFmtId="49" fontId="6" fillId="0" borderId="4" xfId="0" applyNumberFormat="1" applyFont="1" applyBorder="1" applyAlignment="1">
      <alignment vertical="center"/>
    </xf>
    <xf numFmtId="44" fontId="8" fillId="0" borderId="1" xfId="0" quotePrefix="1" applyNumberFormat="1" applyFont="1" applyBorder="1" applyAlignment="1">
      <alignment vertical="center"/>
    </xf>
    <xf numFmtId="49" fontId="7" fillId="0" borderId="4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49" fontId="8" fillId="0" borderId="3" xfId="0" applyNumberFormat="1" applyFont="1" applyBorder="1" applyAlignment="1">
      <alignment vertical="center"/>
    </xf>
    <xf numFmtId="44" fontId="6" fillId="0" borderId="1" xfId="0" applyNumberFormat="1" applyFont="1" applyBorder="1" applyAlignment="1">
      <alignment vertical="center"/>
    </xf>
    <xf numFmtId="44" fontId="6" fillId="9" borderId="1" xfId="0" applyNumberFormat="1" applyFont="1" applyFill="1" applyBorder="1" applyAlignment="1">
      <alignment vertical="center"/>
    </xf>
    <xf numFmtId="44" fontId="6" fillId="10" borderId="1" xfId="0" applyNumberFormat="1" applyFont="1" applyFill="1" applyBorder="1" applyAlignment="1">
      <alignment vertical="center"/>
    </xf>
    <xf numFmtId="49" fontId="2" fillId="5" borderId="4" xfId="0" applyNumberFormat="1" applyFont="1" applyFill="1" applyBorder="1" applyAlignment="1">
      <alignment vertical="center"/>
    </xf>
    <xf numFmtId="49" fontId="8" fillId="5" borderId="4" xfId="0" applyNumberFormat="1" applyFont="1" applyFill="1" applyBorder="1" applyAlignment="1">
      <alignment vertical="center"/>
    </xf>
    <xf numFmtId="49" fontId="6" fillId="0" borderId="3" xfId="0" applyNumberFormat="1" applyFont="1" applyBorder="1" applyAlignment="1">
      <alignment vertical="center"/>
    </xf>
    <xf numFmtId="49" fontId="7" fillId="5" borderId="4" xfId="0" applyNumberFormat="1" applyFont="1" applyFill="1" applyBorder="1" applyAlignment="1">
      <alignment vertical="center"/>
    </xf>
    <xf numFmtId="44" fontId="8" fillId="0" borderId="1" xfId="0" quotePrefix="1" applyNumberFormat="1" applyFont="1" applyBorder="1" applyAlignment="1">
      <alignment horizontal="justify" vertical="center" wrapText="1"/>
    </xf>
    <xf numFmtId="44" fontId="9" fillId="0" borderId="1" xfId="0" applyNumberFormat="1" applyFont="1" applyBorder="1" applyAlignment="1">
      <alignment horizontal="justify" vertical="center" wrapText="1"/>
    </xf>
    <xf numFmtId="44" fontId="12" fillId="0" borderId="0" xfId="0" applyNumberFormat="1" applyFont="1" applyAlignment="1">
      <alignment vertical="center"/>
    </xf>
    <xf numFmtId="44" fontId="6" fillId="0" borderId="0" xfId="0" applyNumberFormat="1" applyFont="1" applyAlignment="1">
      <alignment vertical="center"/>
    </xf>
    <xf numFmtId="44" fontId="11" fillId="0" borderId="1" xfId="0" applyNumberFormat="1" applyFont="1" applyBorder="1" applyAlignment="1">
      <alignment horizontal="justify" vertical="center" wrapText="1"/>
    </xf>
    <xf numFmtId="44" fontId="11" fillId="8" borderId="1" xfId="0" applyNumberFormat="1" applyFont="1" applyFill="1" applyBorder="1" applyAlignment="1">
      <alignment vertical="center"/>
    </xf>
    <xf numFmtId="44" fontId="12" fillId="0" borderId="1" xfId="0" applyNumberFormat="1" applyFont="1" applyBorder="1" applyAlignment="1">
      <alignment horizontal="justify" vertical="center" wrapText="1"/>
    </xf>
    <xf numFmtId="44" fontId="6" fillId="11" borderId="1" xfId="0" quotePrefix="1" applyNumberFormat="1" applyFont="1" applyFill="1" applyBorder="1" applyAlignment="1">
      <alignment horizontal="justify" vertical="center" wrapText="1"/>
    </xf>
    <xf numFmtId="44" fontId="6" fillId="10" borderId="1" xfId="0" quotePrefix="1" applyNumberFormat="1" applyFont="1" applyFill="1" applyBorder="1" applyAlignment="1">
      <alignment horizontal="justify" vertical="center" wrapText="1"/>
    </xf>
    <xf numFmtId="49" fontId="2" fillId="5" borderId="2" xfId="0" applyNumberFormat="1" applyFont="1" applyFill="1" applyBorder="1" applyAlignment="1">
      <alignment vertical="center"/>
    </xf>
    <xf numFmtId="165" fontId="6" fillId="0" borderId="0" xfId="0" applyNumberFormat="1" applyFont="1" applyAlignment="1">
      <alignment vertical="center"/>
    </xf>
    <xf numFmtId="44" fontId="9" fillId="10" borderId="1" xfId="0" applyNumberFormat="1" applyFont="1" applyFill="1" applyBorder="1" applyAlignment="1">
      <alignment vertical="center"/>
    </xf>
    <xf numFmtId="44" fontId="11" fillId="10" borderId="1" xfId="0" applyNumberFormat="1" applyFont="1" applyFill="1" applyBorder="1" applyAlignment="1">
      <alignment vertical="center"/>
    </xf>
    <xf numFmtId="44" fontId="2" fillId="0" borderId="0" xfId="0" applyNumberFormat="1" applyFont="1" applyAlignment="1">
      <alignment vertical="center"/>
    </xf>
    <xf numFmtId="0" fontId="9" fillId="0" borderId="1" xfId="0" applyFont="1" applyBorder="1" applyAlignment="1">
      <alignment vertical="center"/>
    </xf>
    <xf numFmtId="44" fontId="6" fillId="0" borderId="0" xfId="1" applyFont="1" applyAlignment="1">
      <alignment vertical="center"/>
    </xf>
    <xf numFmtId="44" fontId="2" fillId="0" borderId="0" xfId="1" applyFont="1" applyAlignment="1">
      <alignment vertical="center"/>
    </xf>
    <xf numFmtId="44" fontId="8" fillId="0" borderId="0" xfId="1" applyFont="1" applyAlignment="1">
      <alignment vertical="center"/>
    </xf>
    <xf numFmtId="44" fontId="1" fillId="0" borderId="0" xfId="0" applyNumberFormat="1" applyFont="1"/>
    <xf numFmtId="44" fontId="14" fillId="0" borderId="1" xfId="0" quotePrefix="1" applyNumberFormat="1" applyFont="1" applyBorder="1" applyAlignment="1">
      <alignment horizontal="justify" vertical="center" wrapText="1"/>
    </xf>
    <xf numFmtId="44" fontId="15" fillId="0" borderId="1" xfId="0" applyNumberFormat="1" applyFont="1" applyBorder="1" applyAlignment="1">
      <alignment vertical="center"/>
    </xf>
    <xf numFmtId="44" fontId="6" fillId="12" borderId="1" xfId="0" applyNumberFormat="1" applyFont="1" applyFill="1" applyBorder="1" applyAlignment="1">
      <alignment vertical="center"/>
    </xf>
    <xf numFmtId="44" fontId="8" fillId="10" borderId="1" xfId="0" applyNumberFormat="1" applyFont="1" applyFill="1" applyBorder="1" applyAlignment="1">
      <alignment vertical="center"/>
    </xf>
    <xf numFmtId="49" fontId="6" fillId="0" borderId="5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49" fontId="8" fillId="0" borderId="5" xfId="0" applyNumberFormat="1" applyFont="1" applyBorder="1" applyAlignment="1">
      <alignment vertical="center"/>
    </xf>
    <xf numFmtId="49" fontId="6" fillId="0" borderId="6" xfId="0" applyNumberFormat="1" applyFont="1" applyBorder="1" applyAlignment="1">
      <alignment vertical="center"/>
    </xf>
    <xf numFmtId="44" fontId="6" fillId="0" borderId="7" xfId="0" applyNumberFormat="1" applyFont="1" applyBorder="1" applyAlignment="1">
      <alignment vertical="center"/>
    </xf>
    <xf numFmtId="44" fontId="9" fillId="0" borderId="7" xfId="0" applyNumberFormat="1" applyFont="1" applyBorder="1" applyAlignment="1">
      <alignment vertical="center"/>
    </xf>
    <xf numFmtId="49" fontId="6" fillId="0" borderId="8" xfId="0" applyNumberFormat="1" applyFont="1" applyBorder="1" applyAlignment="1">
      <alignment vertical="center"/>
    </xf>
    <xf numFmtId="49" fontId="8" fillId="0" borderId="9" xfId="0" applyNumberFormat="1" applyFont="1" applyBorder="1" applyAlignment="1">
      <alignment vertical="center"/>
    </xf>
    <xf numFmtId="49" fontId="7" fillId="0" borderId="9" xfId="0" applyNumberFormat="1" applyFont="1" applyBorder="1" applyAlignment="1">
      <alignment vertical="center"/>
    </xf>
    <xf numFmtId="49" fontId="8" fillId="0" borderId="10" xfId="0" applyNumberFormat="1" applyFont="1" applyBorder="1" applyAlignment="1">
      <alignment vertical="center"/>
    </xf>
    <xf numFmtId="44" fontId="8" fillId="0" borderId="11" xfId="0" applyNumberFormat="1" applyFont="1" applyBorder="1" applyAlignment="1">
      <alignment vertical="center"/>
    </xf>
    <xf numFmtId="44" fontId="9" fillId="0" borderId="11" xfId="0" applyNumberFormat="1" applyFont="1" applyBorder="1" applyAlignment="1">
      <alignment vertical="center"/>
    </xf>
    <xf numFmtId="44" fontId="6" fillId="8" borderId="1" xfId="0" quotePrefix="1" applyNumberFormat="1" applyFont="1" applyFill="1" applyBorder="1" applyAlignment="1">
      <alignment horizontal="justify" vertical="center" wrapText="1"/>
    </xf>
    <xf numFmtId="49" fontId="7" fillId="0" borderId="3" xfId="0" applyNumberFormat="1" applyFont="1" applyBorder="1" applyAlignment="1">
      <alignment vertical="center"/>
    </xf>
    <xf numFmtId="49" fontId="2" fillId="3" borderId="2" xfId="0" applyNumberFormat="1" applyFont="1" applyFill="1" applyBorder="1" applyAlignment="1">
      <alignment vertical="center"/>
    </xf>
    <xf numFmtId="49" fontId="2" fillId="3" borderId="4" xfId="0" applyNumberFormat="1" applyFont="1" applyFill="1" applyBorder="1" applyAlignment="1">
      <alignment vertical="center"/>
    </xf>
    <xf numFmtId="49" fontId="7" fillId="3" borderId="4" xfId="0" applyNumberFormat="1" applyFont="1" applyFill="1" applyBorder="1" applyAlignment="1">
      <alignment vertical="center"/>
    </xf>
    <xf numFmtId="49" fontId="2" fillId="3" borderId="3" xfId="0" applyNumberFormat="1" applyFont="1" applyFill="1" applyBorder="1" applyAlignment="1">
      <alignment vertical="center"/>
    </xf>
    <xf numFmtId="44" fontId="2" fillId="3" borderId="1" xfId="0" applyNumberFormat="1" applyFont="1" applyFill="1" applyBorder="1" applyAlignment="1">
      <alignment vertical="center"/>
    </xf>
    <xf numFmtId="44" fontId="2" fillId="7" borderId="1" xfId="0" applyNumberFormat="1" applyFont="1" applyFill="1" applyBorder="1" applyAlignment="1">
      <alignment vertical="center"/>
    </xf>
    <xf numFmtId="44" fontId="6" fillId="13" borderId="1" xfId="0" applyNumberFormat="1" applyFont="1" applyFill="1" applyBorder="1" applyAlignment="1">
      <alignment vertical="center"/>
    </xf>
    <xf numFmtId="49" fontId="2" fillId="0" borderId="9" xfId="0" applyNumberFormat="1" applyFont="1" applyBorder="1" applyAlignment="1">
      <alignment vertical="center"/>
    </xf>
    <xf numFmtId="0" fontId="6" fillId="0" borderId="0" xfId="0" applyFont="1"/>
    <xf numFmtId="164" fontId="6" fillId="0" borderId="0" xfId="0" applyNumberFormat="1" applyFont="1"/>
    <xf numFmtId="0" fontId="2" fillId="0" borderId="0" xfId="0" applyFont="1"/>
    <xf numFmtId="0" fontId="8" fillId="0" borderId="0" xfId="0" applyFont="1"/>
    <xf numFmtId="44" fontId="9" fillId="0" borderId="0" xfId="0" applyNumberFormat="1" applyFont="1"/>
    <xf numFmtId="44" fontId="11" fillId="0" borderId="0" xfId="0" applyNumberFormat="1" applyFont="1"/>
    <xf numFmtId="44" fontId="6" fillId="0" borderId="0" xfId="0" applyNumberFormat="1" applyFont="1"/>
    <xf numFmtId="44" fontId="12" fillId="0" borderId="0" xfId="0" applyNumberFormat="1" applyFont="1"/>
    <xf numFmtId="49" fontId="6" fillId="0" borderId="0" xfId="0" applyNumberFormat="1" applyFont="1"/>
    <xf numFmtId="49" fontId="2" fillId="0" borderId="0" xfId="0" applyNumberFormat="1" applyFont="1"/>
    <xf numFmtId="49" fontId="8" fillId="0" borderId="0" xfId="0" applyNumberFormat="1" applyFont="1"/>
    <xf numFmtId="166" fontId="6" fillId="0" borderId="0" xfId="0" applyNumberFormat="1" applyFont="1"/>
    <xf numFmtId="49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49" fontId="6" fillId="0" borderId="0" xfId="0" quotePrefix="1" applyNumberFormat="1" applyFont="1" applyAlignment="1">
      <alignment horizontal="center"/>
    </xf>
    <xf numFmtId="44" fontId="6" fillId="0" borderId="0" xfId="0" quotePrefix="1" applyNumberFormat="1" applyFont="1" applyAlignment="1">
      <alignment horizontal="center"/>
    </xf>
    <xf numFmtId="49" fontId="2" fillId="3" borderId="1" xfId="0" applyNumberFormat="1" applyFont="1" applyFill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Verifica%20di%20cassa/Anno%202024/Chiusura%20presunta/Allegato%201%20e%202_tabella_4%20trimestre%202024.xlsx" TargetMode="External"/><Relationship Id="rId2" Type="http://schemas.openxmlformats.org/officeDocument/2006/relationships/externalLinkPath" Target="file:///F:\corradic\RAGIONERIA\Verifica%20di%20cassa\Anno%202024\Chiusura%20presunta\Allegato%201%20e%202_tabella_4%20trimestre%202024.xlsx" TargetMode="External"/><Relationship Id="rId1" Type="http://schemas.openxmlformats.org/officeDocument/2006/relationships/externalLinkPath" Target="/corradic/RAGIONERIA/Verifica%20di%20cassa/Anno%202024/Chiusura%20presunta/Allegato%201%20e%202_tabella_4%20trimestre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IPAB/Casa%20Soggiorno%20Rovereto/budget2007_divalerio/budget2007_divalerio_modifiche%20del%2021_12.xls" TargetMode="External"/><Relationship Id="rId1" Type="http://schemas.openxmlformats.org/officeDocument/2006/relationships/externalLinkPath" Target="/IPAB/Casa%20Soggiorno%20Rovereto/budget2007_divalerio/budget2007_divalerio_modifiche%20del%2021_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verifica 4 trimestre 2024"/>
      <sheetName val="Allegato 2_preconsuntivo"/>
      <sheetName val="SCOSTAMENI"/>
      <sheetName val="FIANZIAMENTO PAT"/>
      <sheetName val="VECCHIOFINANZIAMENTO PAT"/>
      <sheetName val="ospiti al 30.11.2024"/>
      <sheetName val="CU_RiepilogoPresenzeClassifica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arametro 2007_15.12.06"/>
      <sheetName val="BILANCIO 2007 45,00€URO"/>
      <sheetName val="VOCI"/>
      <sheetName val="Budget"/>
    </sheetNames>
    <sheetDataSet>
      <sheetData sheetId="0"/>
      <sheetData sheetId="1"/>
      <sheetData sheetId="2">
        <row r="2">
          <cell r="A2" t="str">
            <v>A1</v>
          </cell>
        </row>
        <row r="3">
          <cell r="A3" t="str">
            <v>A2</v>
          </cell>
        </row>
        <row r="4">
          <cell r="A4" t="str">
            <v>A3</v>
          </cell>
        </row>
        <row r="5">
          <cell r="A5" t="str">
            <v>A4</v>
          </cell>
        </row>
        <row r="6">
          <cell r="A6" t="str">
            <v>A5</v>
          </cell>
        </row>
        <row r="7">
          <cell r="A7" t="str">
            <v>B1</v>
          </cell>
        </row>
        <row r="8">
          <cell r="A8" t="str">
            <v>B2</v>
          </cell>
        </row>
        <row r="9">
          <cell r="A9" t="str">
            <v>B3</v>
          </cell>
        </row>
        <row r="10">
          <cell r="A10" t="str">
            <v>B4</v>
          </cell>
        </row>
        <row r="11">
          <cell r="A11" t="str">
            <v>B5</v>
          </cell>
        </row>
        <row r="12">
          <cell r="A12" t="str">
            <v>B6</v>
          </cell>
        </row>
        <row r="13">
          <cell r="A13" t="str">
            <v>B7</v>
          </cell>
        </row>
        <row r="14">
          <cell r="A14" t="str">
            <v>B8</v>
          </cell>
        </row>
        <row r="15">
          <cell r="A15" t="str">
            <v>B9</v>
          </cell>
        </row>
        <row r="16">
          <cell r="A16" t="str">
            <v>B10</v>
          </cell>
        </row>
        <row r="17">
          <cell r="A17" t="str">
            <v>B11</v>
          </cell>
        </row>
        <row r="18">
          <cell r="A18" t="str">
            <v>B12</v>
          </cell>
        </row>
        <row r="19">
          <cell r="A19" t="str">
            <v>B13</v>
          </cell>
        </row>
        <row r="20">
          <cell r="A20" t="str">
            <v>B14</v>
          </cell>
        </row>
        <row r="21">
          <cell r="A21" t="str">
            <v>B15</v>
          </cell>
        </row>
        <row r="22">
          <cell r="A22" t="str">
            <v>B16</v>
          </cell>
        </row>
        <row r="23">
          <cell r="A23" t="str">
            <v>B17</v>
          </cell>
        </row>
        <row r="24">
          <cell r="A24" t="str">
            <v>B18</v>
          </cell>
        </row>
        <row r="25">
          <cell r="A25" t="str">
            <v>B19</v>
          </cell>
        </row>
        <row r="26">
          <cell r="A26" t="str">
            <v>B20</v>
          </cell>
        </row>
        <row r="27">
          <cell r="A27" t="str">
            <v>B21</v>
          </cell>
        </row>
        <row r="28">
          <cell r="A28" t="str">
            <v>B22</v>
          </cell>
        </row>
        <row r="29">
          <cell r="A29" t="str">
            <v>B23</v>
          </cell>
        </row>
        <row r="30">
          <cell r="A30" t="str">
            <v>B24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068F-50DC-4702-B073-1AB8606E18CA}">
  <sheetPr>
    <pageSetUpPr fitToPage="1"/>
  </sheetPr>
  <dimension ref="A1:AC492"/>
  <sheetViews>
    <sheetView tabSelected="1" topLeftCell="B310" zoomScale="98" zoomScaleNormal="98" workbookViewId="0">
      <selection activeCell="AD325" sqref="AD325"/>
    </sheetView>
  </sheetViews>
  <sheetFormatPr defaultColWidth="9.140625" defaultRowHeight="17.25" x14ac:dyDescent="0.3"/>
  <cols>
    <col min="1" max="1" width="19.140625" style="120" hidden="1" customWidth="1"/>
    <col min="2" max="2" width="3" style="120" customWidth="1"/>
    <col min="3" max="3" width="2.85546875" style="120" customWidth="1"/>
    <col min="4" max="4" width="3.28515625" style="121" customWidth="1"/>
    <col min="5" max="5" width="2.7109375" style="122" customWidth="1"/>
    <col min="6" max="6" width="68.7109375" style="120" customWidth="1"/>
    <col min="7" max="10" width="20.7109375" style="116" hidden="1" customWidth="1"/>
    <col min="11" max="12" width="20.7109375" style="116" customWidth="1"/>
    <col min="13" max="16" width="20.7109375" style="116" hidden="1" customWidth="1"/>
    <col min="17" max="17" width="92.42578125" style="116" hidden="1" customWidth="1"/>
    <col min="18" max="18" width="87.5703125" style="117" hidden="1" customWidth="1"/>
    <col min="19" max="19" width="84.85546875" style="118" hidden="1" customWidth="1"/>
    <col min="20" max="20" width="13" style="119" hidden="1" customWidth="1"/>
    <col min="21" max="21" width="19.5703125" style="112" hidden="1" customWidth="1"/>
    <col min="22" max="22" width="14.85546875" style="112" hidden="1" customWidth="1"/>
    <col min="23" max="24" width="18.7109375" style="113" hidden="1" customWidth="1"/>
    <col min="25" max="25" width="15.42578125" style="112" hidden="1" customWidth="1"/>
    <col min="26" max="26" width="9.140625" style="112" hidden="1" customWidth="1"/>
    <col min="27" max="27" width="15.7109375" style="112" hidden="1" customWidth="1"/>
    <col min="28" max="28" width="16.140625" style="112" bestFit="1" customWidth="1"/>
    <col min="29" max="29" width="17" style="112" bestFit="1" customWidth="1"/>
    <col min="30" max="230" width="9.140625" style="112"/>
    <col min="231" max="231" width="0" style="112" hidden="1" customWidth="1"/>
    <col min="232" max="232" width="3" style="112" customWidth="1"/>
    <col min="233" max="233" width="2.85546875" style="112" customWidth="1"/>
    <col min="234" max="234" width="3.28515625" style="112" customWidth="1"/>
    <col min="235" max="235" width="2.7109375" style="112" customWidth="1"/>
    <col min="236" max="236" width="54" style="112" customWidth="1"/>
    <col min="237" max="238" width="15.7109375" style="112" customWidth="1"/>
    <col min="239" max="239" width="16.7109375" style="112" customWidth="1"/>
    <col min="240" max="241" width="17.5703125" style="112" customWidth="1"/>
    <col min="242" max="242" width="12.140625" style="112" bestFit="1" customWidth="1"/>
    <col min="243" max="243" width="9.28515625" style="112" bestFit="1" customWidth="1"/>
    <col min="244" max="244" width="12.140625" style="112" bestFit="1" customWidth="1"/>
    <col min="245" max="245" width="13.140625" style="112" bestFit="1" customWidth="1"/>
    <col min="246" max="486" width="9.140625" style="112"/>
    <col min="487" max="487" width="0" style="112" hidden="1" customWidth="1"/>
    <col min="488" max="488" width="3" style="112" customWidth="1"/>
    <col min="489" max="489" width="2.85546875" style="112" customWidth="1"/>
    <col min="490" max="490" width="3.28515625" style="112" customWidth="1"/>
    <col min="491" max="491" width="2.7109375" style="112" customWidth="1"/>
    <col min="492" max="492" width="54" style="112" customWidth="1"/>
    <col min="493" max="494" width="15.7109375" style="112" customWidth="1"/>
    <col min="495" max="495" width="16.7109375" style="112" customWidth="1"/>
    <col min="496" max="497" width="17.5703125" style="112" customWidth="1"/>
    <col min="498" max="498" width="12.140625" style="112" bestFit="1" customWidth="1"/>
    <col min="499" max="499" width="9.28515625" style="112" bestFit="1" customWidth="1"/>
    <col min="500" max="500" width="12.140625" style="112" bestFit="1" customWidth="1"/>
    <col min="501" max="501" width="13.140625" style="112" bestFit="1" customWidth="1"/>
    <col min="502" max="742" width="9.140625" style="112"/>
    <col min="743" max="743" width="0" style="112" hidden="1" customWidth="1"/>
    <col min="744" max="744" width="3" style="112" customWidth="1"/>
    <col min="745" max="745" width="2.85546875" style="112" customWidth="1"/>
    <col min="746" max="746" width="3.28515625" style="112" customWidth="1"/>
    <col min="747" max="747" width="2.7109375" style="112" customWidth="1"/>
    <col min="748" max="748" width="54" style="112" customWidth="1"/>
    <col min="749" max="750" width="15.7109375" style="112" customWidth="1"/>
    <col min="751" max="751" width="16.7109375" style="112" customWidth="1"/>
    <col min="752" max="753" width="17.5703125" style="112" customWidth="1"/>
    <col min="754" max="754" width="12.140625" style="112" bestFit="1" customWidth="1"/>
    <col min="755" max="755" width="9.28515625" style="112" bestFit="1" customWidth="1"/>
    <col min="756" max="756" width="12.140625" style="112" bestFit="1" customWidth="1"/>
    <col min="757" max="757" width="13.140625" style="112" bestFit="1" customWidth="1"/>
    <col min="758" max="998" width="9.140625" style="112"/>
    <col min="999" max="999" width="0" style="112" hidden="1" customWidth="1"/>
    <col min="1000" max="1000" width="3" style="112" customWidth="1"/>
    <col min="1001" max="1001" width="2.85546875" style="112" customWidth="1"/>
    <col min="1002" max="1002" width="3.28515625" style="112" customWidth="1"/>
    <col min="1003" max="1003" width="2.7109375" style="112" customWidth="1"/>
    <col min="1004" max="1004" width="54" style="112" customWidth="1"/>
    <col min="1005" max="1006" width="15.7109375" style="112" customWidth="1"/>
    <col min="1007" max="1007" width="16.7109375" style="112" customWidth="1"/>
    <col min="1008" max="1009" width="17.5703125" style="112" customWidth="1"/>
    <col min="1010" max="1010" width="12.140625" style="112" bestFit="1" customWidth="1"/>
    <col min="1011" max="1011" width="9.28515625" style="112" bestFit="1" customWidth="1"/>
    <col min="1012" max="1012" width="12.140625" style="112" bestFit="1" customWidth="1"/>
    <col min="1013" max="1013" width="13.140625" style="112" bestFit="1" customWidth="1"/>
    <col min="1014" max="1254" width="9.140625" style="112"/>
    <col min="1255" max="1255" width="0" style="112" hidden="1" customWidth="1"/>
    <col min="1256" max="1256" width="3" style="112" customWidth="1"/>
    <col min="1257" max="1257" width="2.85546875" style="112" customWidth="1"/>
    <col min="1258" max="1258" width="3.28515625" style="112" customWidth="1"/>
    <col min="1259" max="1259" width="2.7109375" style="112" customWidth="1"/>
    <col min="1260" max="1260" width="54" style="112" customWidth="1"/>
    <col min="1261" max="1262" width="15.7109375" style="112" customWidth="1"/>
    <col min="1263" max="1263" width="16.7109375" style="112" customWidth="1"/>
    <col min="1264" max="1265" width="17.5703125" style="112" customWidth="1"/>
    <col min="1266" max="1266" width="12.140625" style="112" bestFit="1" customWidth="1"/>
    <col min="1267" max="1267" width="9.28515625" style="112" bestFit="1" customWidth="1"/>
    <col min="1268" max="1268" width="12.140625" style="112" bestFit="1" customWidth="1"/>
    <col min="1269" max="1269" width="13.140625" style="112" bestFit="1" customWidth="1"/>
    <col min="1270" max="1510" width="9.140625" style="112"/>
    <col min="1511" max="1511" width="0" style="112" hidden="1" customWidth="1"/>
    <col min="1512" max="1512" width="3" style="112" customWidth="1"/>
    <col min="1513" max="1513" width="2.85546875" style="112" customWidth="1"/>
    <col min="1514" max="1514" width="3.28515625" style="112" customWidth="1"/>
    <col min="1515" max="1515" width="2.7109375" style="112" customWidth="1"/>
    <col min="1516" max="1516" width="54" style="112" customWidth="1"/>
    <col min="1517" max="1518" width="15.7109375" style="112" customWidth="1"/>
    <col min="1519" max="1519" width="16.7109375" style="112" customWidth="1"/>
    <col min="1520" max="1521" width="17.5703125" style="112" customWidth="1"/>
    <col min="1522" max="1522" width="12.140625" style="112" bestFit="1" customWidth="1"/>
    <col min="1523" max="1523" width="9.28515625" style="112" bestFit="1" customWidth="1"/>
    <col min="1524" max="1524" width="12.140625" style="112" bestFit="1" customWidth="1"/>
    <col min="1525" max="1525" width="13.140625" style="112" bestFit="1" customWidth="1"/>
    <col min="1526" max="1766" width="9.140625" style="112"/>
    <col min="1767" max="1767" width="0" style="112" hidden="1" customWidth="1"/>
    <col min="1768" max="1768" width="3" style="112" customWidth="1"/>
    <col min="1769" max="1769" width="2.85546875" style="112" customWidth="1"/>
    <col min="1770" max="1770" width="3.28515625" style="112" customWidth="1"/>
    <col min="1771" max="1771" width="2.7109375" style="112" customWidth="1"/>
    <col min="1772" max="1772" width="54" style="112" customWidth="1"/>
    <col min="1773" max="1774" width="15.7109375" style="112" customWidth="1"/>
    <col min="1775" max="1775" width="16.7109375" style="112" customWidth="1"/>
    <col min="1776" max="1777" width="17.5703125" style="112" customWidth="1"/>
    <col min="1778" max="1778" width="12.140625" style="112" bestFit="1" customWidth="1"/>
    <col min="1779" max="1779" width="9.28515625" style="112" bestFit="1" customWidth="1"/>
    <col min="1780" max="1780" width="12.140625" style="112" bestFit="1" customWidth="1"/>
    <col min="1781" max="1781" width="13.140625" style="112" bestFit="1" customWidth="1"/>
    <col min="1782" max="2022" width="9.140625" style="112"/>
    <col min="2023" max="2023" width="0" style="112" hidden="1" customWidth="1"/>
    <col min="2024" max="2024" width="3" style="112" customWidth="1"/>
    <col min="2025" max="2025" width="2.85546875" style="112" customWidth="1"/>
    <col min="2026" max="2026" width="3.28515625" style="112" customWidth="1"/>
    <col min="2027" max="2027" width="2.7109375" style="112" customWidth="1"/>
    <col min="2028" max="2028" width="54" style="112" customWidth="1"/>
    <col min="2029" max="2030" width="15.7109375" style="112" customWidth="1"/>
    <col min="2031" max="2031" width="16.7109375" style="112" customWidth="1"/>
    <col min="2032" max="2033" width="17.5703125" style="112" customWidth="1"/>
    <col min="2034" max="2034" width="12.140625" style="112" bestFit="1" customWidth="1"/>
    <col min="2035" max="2035" width="9.28515625" style="112" bestFit="1" customWidth="1"/>
    <col min="2036" max="2036" width="12.140625" style="112" bestFit="1" customWidth="1"/>
    <col min="2037" max="2037" width="13.140625" style="112" bestFit="1" customWidth="1"/>
    <col min="2038" max="2278" width="9.140625" style="112"/>
    <col min="2279" max="2279" width="0" style="112" hidden="1" customWidth="1"/>
    <col min="2280" max="2280" width="3" style="112" customWidth="1"/>
    <col min="2281" max="2281" width="2.85546875" style="112" customWidth="1"/>
    <col min="2282" max="2282" width="3.28515625" style="112" customWidth="1"/>
    <col min="2283" max="2283" width="2.7109375" style="112" customWidth="1"/>
    <col min="2284" max="2284" width="54" style="112" customWidth="1"/>
    <col min="2285" max="2286" width="15.7109375" style="112" customWidth="1"/>
    <col min="2287" max="2287" width="16.7109375" style="112" customWidth="1"/>
    <col min="2288" max="2289" width="17.5703125" style="112" customWidth="1"/>
    <col min="2290" max="2290" width="12.140625" style="112" bestFit="1" customWidth="1"/>
    <col min="2291" max="2291" width="9.28515625" style="112" bestFit="1" customWidth="1"/>
    <col min="2292" max="2292" width="12.140625" style="112" bestFit="1" customWidth="1"/>
    <col min="2293" max="2293" width="13.140625" style="112" bestFit="1" customWidth="1"/>
    <col min="2294" max="2534" width="9.140625" style="112"/>
    <col min="2535" max="2535" width="0" style="112" hidden="1" customWidth="1"/>
    <col min="2536" max="2536" width="3" style="112" customWidth="1"/>
    <col min="2537" max="2537" width="2.85546875" style="112" customWidth="1"/>
    <col min="2538" max="2538" width="3.28515625" style="112" customWidth="1"/>
    <col min="2539" max="2539" width="2.7109375" style="112" customWidth="1"/>
    <col min="2540" max="2540" width="54" style="112" customWidth="1"/>
    <col min="2541" max="2542" width="15.7109375" style="112" customWidth="1"/>
    <col min="2543" max="2543" width="16.7109375" style="112" customWidth="1"/>
    <col min="2544" max="2545" width="17.5703125" style="112" customWidth="1"/>
    <col min="2546" max="2546" width="12.140625" style="112" bestFit="1" customWidth="1"/>
    <col min="2547" max="2547" width="9.28515625" style="112" bestFit="1" customWidth="1"/>
    <col min="2548" max="2548" width="12.140625" style="112" bestFit="1" customWidth="1"/>
    <col min="2549" max="2549" width="13.140625" style="112" bestFit="1" customWidth="1"/>
    <col min="2550" max="2790" width="9.140625" style="112"/>
    <col min="2791" max="2791" width="0" style="112" hidden="1" customWidth="1"/>
    <col min="2792" max="2792" width="3" style="112" customWidth="1"/>
    <col min="2793" max="2793" width="2.85546875" style="112" customWidth="1"/>
    <col min="2794" max="2794" width="3.28515625" style="112" customWidth="1"/>
    <col min="2795" max="2795" width="2.7109375" style="112" customWidth="1"/>
    <col min="2796" max="2796" width="54" style="112" customWidth="1"/>
    <col min="2797" max="2798" width="15.7109375" style="112" customWidth="1"/>
    <col min="2799" max="2799" width="16.7109375" style="112" customWidth="1"/>
    <col min="2800" max="2801" width="17.5703125" style="112" customWidth="1"/>
    <col min="2802" max="2802" width="12.140625" style="112" bestFit="1" customWidth="1"/>
    <col min="2803" max="2803" width="9.28515625" style="112" bestFit="1" customWidth="1"/>
    <col min="2804" max="2804" width="12.140625" style="112" bestFit="1" customWidth="1"/>
    <col min="2805" max="2805" width="13.140625" style="112" bestFit="1" customWidth="1"/>
    <col min="2806" max="3046" width="9.140625" style="112"/>
    <col min="3047" max="3047" width="0" style="112" hidden="1" customWidth="1"/>
    <col min="3048" max="3048" width="3" style="112" customWidth="1"/>
    <col min="3049" max="3049" width="2.85546875" style="112" customWidth="1"/>
    <col min="3050" max="3050" width="3.28515625" style="112" customWidth="1"/>
    <col min="3051" max="3051" width="2.7109375" style="112" customWidth="1"/>
    <col min="3052" max="3052" width="54" style="112" customWidth="1"/>
    <col min="3053" max="3054" width="15.7109375" style="112" customWidth="1"/>
    <col min="3055" max="3055" width="16.7109375" style="112" customWidth="1"/>
    <col min="3056" max="3057" width="17.5703125" style="112" customWidth="1"/>
    <col min="3058" max="3058" width="12.140625" style="112" bestFit="1" customWidth="1"/>
    <col min="3059" max="3059" width="9.28515625" style="112" bestFit="1" customWidth="1"/>
    <col min="3060" max="3060" width="12.140625" style="112" bestFit="1" customWidth="1"/>
    <col min="3061" max="3061" width="13.140625" style="112" bestFit="1" customWidth="1"/>
    <col min="3062" max="3302" width="9.140625" style="112"/>
    <col min="3303" max="3303" width="0" style="112" hidden="1" customWidth="1"/>
    <col min="3304" max="3304" width="3" style="112" customWidth="1"/>
    <col min="3305" max="3305" width="2.85546875" style="112" customWidth="1"/>
    <col min="3306" max="3306" width="3.28515625" style="112" customWidth="1"/>
    <col min="3307" max="3307" width="2.7109375" style="112" customWidth="1"/>
    <col min="3308" max="3308" width="54" style="112" customWidth="1"/>
    <col min="3309" max="3310" width="15.7109375" style="112" customWidth="1"/>
    <col min="3311" max="3311" width="16.7109375" style="112" customWidth="1"/>
    <col min="3312" max="3313" width="17.5703125" style="112" customWidth="1"/>
    <col min="3314" max="3314" width="12.140625" style="112" bestFit="1" customWidth="1"/>
    <col min="3315" max="3315" width="9.28515625" style="112" bestFit="1" customWidth="1"/>
    <col min="3316" max="3316" width="12.140625" style="112" bestFit="1" customWidth="1"/>
    <col min="3317" max="3317" width="13.140625" style="112" bestFit="1" customWidth="1"/>
    <col min="3318" max="3558" width="9.140625" style="112"/>
    <col min="3559" max="3559" width="0" style="112" hidden="1" customWidth="1"/>
    <col min="3560" max="3560" width="3" style="112" customWidth="1"/>
    <col min="3561" max="3561" width="2.85546875" style="112" customWidth="1"/>
    <col min="3562" max="3562" width="3.28515625" style="112" customWidth="1"/>
    <col min="3563" max="3563" width="2.7109375" style="112" customWidth="1"/>
    <col min="3564" max="3564" width="54" style="112" customWidth="1"/>
    <col min="3565" max="3566" width="15.7109375" style="112" customWidth="1"/>
    <col min="3567" max="3567" width="16.7109375" style="112" customWidth="1"/>
    <col min="3568" max="3569" width="17.5703125" style="112" customWidth="1"/>
    <col min="3570" max="3570" width="12.140625" style="112" bestFit="1" customWidth="1"/>
    <col min="3571" max="3571" width="9.28515625" style="112" bestFit="1" customWidth="1"/>
    <col min="3572" max="3572" width="12.140625" style="112" bestFit="1" customWidth="1"/>
    <col min="3573" max="3573" width="13.140625" style="112" bestFit="1" customWidth="1"/>
    <col min="3574" max="3814" width="9.140625" style="112"/>
    <col min="3815" max="3815" width="0" style="112" hidden="1" customWidth="1"/>
    <col min="3816" max="3816" width="3" style="112" customWidth="1"/>
    <col min="3817" max="3817" width="2.85546875" style="112" customWidth="1"/>
    <col min="3818" max="3818" width="3.28515625" style="112" customWidth="1"/>
    <col min="3819" max="3819" width="2.7109375" style="112" customWidth="1"/>
    <col min="3820" max="3820" width="54" style="112" customWidth="1"/>
    <col min="3821" max="3822" width="15.7109375" style="112" customWidth="1"/>
    <col min="3823" max="3823" width="16.7109375" style="112" customWidth="1"/>
    <col min="3824" max="3825" width="17.5703125" style="112" customWidth="1"/>
    <col min="3826" max="3826" width="12.140625" style="112" bestFit="1" customWidth="1"/>
    <col min="3827" max="3827" width="9.28515625" style="112" bestFit="1" customWidth="1"/>
    <col min="3828" max="3828" width="12.140625" style="112" bestFit="1" customWidth="1"/>
    <col min="3829" max="3829" width="13.140625" style="112" bestFit="1" customWidth="1"/>
    <col min="3830" max="4070" width="9.140625" style="112"/>
    <col min="4071" max="4071" width="0" style="112" hidden="1" customWidth="1"/>
    <col min="4072" max="4072" width="3" style="112" customWidth="1"/>
    <col min="4073" max="4073" width="2.85546875" style="112" customWidth="1"/>
    <col min="4074" max="4074" width="3.28515625" style="112" customWidth="1"/>
    <col min="4075" max="4075" width="2.7109375" style="112" customWidth="1"/>
    <col min="4076" max="4076" width="54" style="112" customWidth="1"/>
    <col min="4077" max="4078" width="15.7109375" style="112" customWidth="1"/>
    <col min="4079" max="4079" width="16.7109375" style="112" customWidth="1"/>
    <col min="4080" max="4081" width="17.5703125" style="112" customWidth="1"/>
    <col min="4082" max="4082" width="12.140625" style="112" bestFit="1" customWidth="1"/>
    <col min="4083" max="4083" width="9.28515625" style="112" bestFit="1" customWidth="1"/>
    <col min="4084" max="4084" width="12.140625" style="112" bestFit="1" customWidth="1"/>
    <col min="4085" max="4085" width="13.140625" style="112" bestFit="1" customWidth="1"/>
    <col min="4086" max="4326" width="9.140625" style="112"/>
    <col min="4327" max="4327" width="0" style="112" hidden="1" customWidth="1"/>
    <col min="4328" max="4328" width="3" style="112" customWidth="1"/>
    <col min="4329" max="4329" width="2.85546875" style="112" customWidth="1"/>
    <col min="4330" max="4330" width="3.28515625" style="112" customWidth="1"/>
    <col min="4331" max="4331" width="2.7109375" style="112" customWidth="1"/>
    <col min="4332" max="4332" width="54" style="112" customWidth="1"/>
    <col min="4333" max="4334" width="15.7109375" style="112" customWidth="1"/>
    <col min="4335" max="4335" width="16.7109375" style="112" customWidth="1"/>
    <col min="4336" max="4337" width="17.5703125" style="112" customWidth="1"/>
    <col min="4338" max="4338" width="12.140625" style="112" bestFit="1" customWidth="1"/>
    <col min="4339" max="4339" width="9.28515625" style="112" bestFit="1" customWidth="1"/>
    <col min="4340" max="4340" width="12.140625" style="112" bestFit="1" customWidth="1"/>
    <col min="4341" max="4341" width="13.140625" style="112" bestFit="1" customWidth="1"/>
    <col min="4342" max="4582" width="9.140625" style="112"/>
    <col min="4583" max="4583" width="0" style="112" hidden="1" customWidth="1"/>
    <col min="4584" max="4584" width="3" style="112" customWidth="1"/>
    <col min="4585" max="4585" width="2.85546875" style="112" customWidth="1"/>
    <col min="4586" max="4586" width="3.28515625" style="112" customWidth="1"/>
    <col min="4587" max="4587" width="2.7109375" style="112" customWidth="1"/>
    <col min="4588" max="4588" width="54" style="112" customWidth="1"/>
    <col min="4589" max="4590" width="15.7109375" style="112" customWidth="1"/>
    <col min="4591" max="4591" width="16.7109375" style="112" customWidth="1"/>
    <col min="4592" max="4593" width="17.5703125" style="112" customWidth="1"/>
    <col min="4594" max="4594" width="12.140625" style="112" bestFit="1" customWidth="1"/>
    <col min="4595" max="4595" width="9.28515625" style="112" bestFit="1" customWidth="1"/>
    <col min="4596" max="4596" width="12.140625" style="112" bestFit="1" customWidth="1"/>
    <col min="4597" max="4597" width="13.140625" style="112" bestFit="1" customWidth="1"/>
    <col min="4598" max="4838" width="9.140625" style="112"/>
    <col min="4839" max="4839" width="0" style="112" hidden="1" customWidth="1"/>
    <col min="4840" max="4840" width="3" style="112" customWidth="1"/>
    <col min="4841" max="4841" width="2.85546875" style="112" customWidth="1"/>
    <col min="4842" max="4842" width="3.28515625" style="112" customWidth="1"/>
    <col min="4843" max="4843" width="2.7109375" style="112" customWidth="1"/>
    <col min="4844" max="4844" width="54" style="112" customWidth="1"/>
    <col min="4845" max="4846" width="15.7109375" style="112" customWidth="1"/>
    <col min="4847" max="4847" width="16.7109375" style="112" customWidth="1"/>
    <col min="4848" max="4849" width="17.5703125" style="112" customWidth="1"/>
    <col min="4850" max="4850" width="12.140625" style="112" bestFit="1" customWidth="1"/>
    <col min="4851" max="4851" width="9.28515625" style="112" bestFit="1" customWidth="1"/>
    <col min="4852" max="4852" width="12.140625" style="112" bestFit="1" customWidth="1"/>
    <col min="4853" max="4853" width="13.140625" style="112" bestFit="1" customWidth="1"/>
    <col min="4854" max="5094" width="9.140625" style="112"/>
    <col min="5095" max="5095" width="0" style="112" hidden="1" customWidth="1"/>
    <col min="5096" max="5096" width="3" style="112" customWidth="1"/>
    <col min="5097" max="5097" width="2.85546875" style="112" customWidth="1"/>
    <col min="5098" max="5098" width="3.28515625" style="112" customWidth="1"/>
    <col min="5099" max="5099" width="2.7109375" style="112" customWidth="1"/>
    <col min="5100" max="5100" width="54" style="112" customWidth="1"/>
    <col min="5101" max="5102" width="15.7109375" style="112" customWidth="1"/>
    <col min="5103" max="5103" width="16.7109375" style="112" customWidth="1"/>
    <col min="5104" max="5105" width="17.5703125" style="112" customWidth="1"/>
    <col min="5106" max="5106" width="12.140625" style="112" bestFit="1" customWidth="1"/>
    <col min="5107" max="5107" width="9.28515625" style="112" bestFit="1" customWidth="1"/>
    <col min="5108" max="5108" width="12.140625" style="112" bestFit="1" customWidth="1"/>
    <col min="5109" max="5109" width="13.140625" style="112" bestFit="1" customWidth="1"/>
    <col min="5110" max="5350" width="9.140625" style="112"/>
    <col min="5351" max="5351" width="0" style="112" hidden="1" customWidth="1"/>
    <col min="5352" max="5352" width="3" style="112" customWidth="1"/>
    <col min="5353" max="5353" width="2.85546875" style="112" customWidth="1"/>
    <col min="5354" max="5354" width="3.28515625" style="112" customWidth="1"/>
    <col min="5355" max="5355" width="2.7109375" style="112" customWidth="1"/>
    <col min="5356" max="5356" width="54" style="112" customWidth="1"/>
    <col min="5357" max="5358" width="15.7109375" style="112" customWidth="1"/>
    <col min="5359" max="5359" width="16.7109375" style="112" customWidth="1"/>
    <col min="5360" max="5361" width="17.5703125" style="112" customWidth="1"/>
    <col min="5362" max="5362" width="12.140625" style="112" bestFit="1" customWidth="1"/>
    <col min="5363" max="5363" width="9.28515625" style="112" bestFit="1" customWidth="1"/>
    <col min="5364" max="5364" width="12.140625" style="112" bestFit="1" customWidth="1"/>
    <col min="5365" max="5365" width="13.140625" style="112" bestFit="1" customWidth="1"/>
    <col min="5366" max="5606" width="9.140625" style="112"/>
    <col min="5607" max="5607" width="0" style="112" hidden="1" customWidth="1"/>
    <col min="5608" max="5608" width="3" style="112" customWidth="1"/>
    <col min="5609" max="5609" width="2.85546875" style="112" customWidth="1"/>
    <col min="5610" max="5610" width="3.28515625" style="112" customWidth="1"/>
    <col min="5611" max="5611" width="2.7109375" style="112" customWidth="1"/>
    <col min="5612" max="5612" width="54" style="112" customWidth="1"/>
    <col min="5613" max="5614" width="15.7109375" style="112" customWidth="1"/>
    <col min="5615" max="5615" width="16.7109375" style="112" customWidth="1"/>
    <col min="5616" max="5617" width="17.5703125" style="112" customWidth="1"/>
    <col min="5618" max="5618" width="12.140625" style="112" bestFit="1" customWidth="1"/>
    <col min="5619" max="5619" width="9.28515625" style="112" bestFit="1" customWidth="1"/>
    <col min="5620" max="5620" width="12.140625" style="112" bestFit="1" customWidth="1"/>
    <col min="5621" max="5621" width="13.140625" style="112" bestFit="1" customWidth="1"/>
    <col min="5622" max="5862" width="9.140625" style="112"/>
    <col min="5863" max="5863" width="0" style="112" hidden="1" customWidth="1"/>
    <col min="5864" max="5864" width="3" style="112" customWidth="1"/>
    <col min="5865" max="5865" width="2.85546875" style="112" customWidth="1"/>
    <col min="5866" max="5866" width="3.28515625" style="112" customWidth="1"/>
    <col min="5867" max="5867" width="2.7109375" style="112" customWidth="1"/>
    <col min="5868" max="5868" width="54" style="112" customWidth="1"/>
    <col min="5869" max="5870" width="15.7109375" style="112" customWidth="1"/>
    <col min="5871" max="5871" width="16.7109375" style="112" customWidth="1"/>
    <col min="5872" max="5873" width="17.5703125" style="112" customWidth="1"/>
    <col min="5874" max="5874" width="12.140625" style="112" bestFit="1" customWidth="1"/>
    <col min="5875" max="5875" width="9.28515625" style="112" bestFit="1" customWidth="1"/>
    <col min="5876" max="5876" width="12.140625" style="112" bestFit="1" customWidth="1"/>
    <col min="5877" max="5877" width="13.140625" style="112" bestFit="1" customWidth="1"/>
    <col min="5878" max="6118" width="9.140625" style="112"/>
    <col min="6119" max="6119" width="0" style="112" hidden="1" customWidth="1"/>
    <col min="6120" max="6120" width="3" style="112" customWidth="1"/>
    <col min="6121" max="6121" width="2.85546875" style="112" customWidth="1"/>
    <col min="6122" max="6122" width="3.28515625" style="112" customWidth="1"/>
    <col min="6123" max="6123" width="2.7109375" style="112" customWidth="1"/>
    <col min="6124" max="6124" width="54" style="112" customWidth="1"/>
    <col min="6125" max="6126" width="15.7109375" style="112" customWidth="1"/>
    <col min="6127" max="6127" width="16.7109375" style="112" customWidth="1"/>
    <col min="6128" max="6129" width="17.5703125" style="112" customWidth="1"/>
    <col min="6130" max="6130" width="12.140625" style="112" bestFit="1" customWidth="1"/>
    <col min="6131" max="6131" width="9.28515625" style="112" bestFit="1" customWidth="1"/>
    <col min="6132" max="6132" width="12.140625" style="112" bestFit="1" customWidth="1"/>
    <col min="6133" max="6133" width="13.140625" style="112" bestFit="1" customWidth="1"/>
    <col min="6134" max="6374" width="9.140625" style="112"/>
    <col min="6375" max="6375" width="0" style="112" hidden="1" customWidth="1"/>
    <col min="6376" max="6376" width="3" style="112" customWidth="1"/>
    <col min="6377" max="6377" width="2.85546875" style="112" customWidth="1"/>
    <col min="6378" max="6378" width="3.28515625" style="112" customWidth="1"/>
    <col min="6379" max="6379" width="2.7109375" style="112" customWidth="1"/>
    <col min="6380" max="6380" width="54" style="112" customWidth="1"/>
    <col min="6381" max="6382" width="15.7109375" style="112" customWidth="1"/>
    <col min="6383" max="6383" width="16.7109375" style="112" customWidth="1"/>
    <col min="6384" max="6385" width="17.5703125" style="112" customWidth="1"/>
    <col min="6386" max="6386" width="12.140625" style="112" bestFit="1" customWidth="1"/>
    <col min="6387" max="6387" width="9.28515625" style="112" bestFit="1" customWidth="1"/>
    <col min="6388" max="6388" width="12.140625" style="112" bestFit="1" customWidth="1"/>
    <col min="6389" max="6389" width="13.140625" style="112" bestFit="1" customWidth="1"/>
    <col min="6390" max="6630" width="9.140625" style="112"/>
    <col min="6631" max="6631" width="0" style="112" hidden="1" customWidth="1"/>
    <col min="6632" max="6632" width="3" style="112" customWidth="1"/>
    <col min="6633" max="6633" width="2.85546875" style="112" customWidth="1"/>
    <col min="6634" max="6634" width="3.28515625" style="112" customWidth="1"/>
    <col min="6635" max="6635" width="2.7109375" style="112" customWidth="1"/>
    <col min="6636" max="6636" width="54" style="112" customWidth="1"/>
    <col min="6637" max="6638" width="15.7109375" style="112" customWidth="1"/>
    <col min="6639" max="6639" width="16.7109375" style="112" customWidth="1"/>
    <col min="6640" max="6641" width="17.5703125" style="112" customWidth="1"/>
    <col min="6642" max="6642" width="12.140625" style="112" bestFit="1" customWidth="1"/>
    <col min="6643" max="6643" width="9.28515625" style="112" bestFit="1" customWidth="1"/>
    <col min="6644" max="6644" width="12.140625" style="112" bestFit="1" customWidth="1"/>
    <col min="6645" max="6645" width="13.140625" style="112" bestFit="1" customWidth="1"/>
    <col min="6646" max="6886" width="9.140625" style="112"/>
    <col min="6887" max="6887" width="0" style="112" hidden="1" customWidth="1"/>
    <col min="6888" max="6888" width="3" style="112" customWidth="1"/>
    <col min="6889" max="6889" width="2.85546875" style="112" customWidth="1"/>
    <col min="6890" max="6890" width="3.28515625" style="112" customWidth="1"/>
    <col min="6891" max="6891" width="2.7109375" style="112" customWidth="1"/>
    <col min="6892" max="6892" width="54" style="112" customWidth="1"/>
    <col min="6893" max="6894" width="15.7109375" style="112" customWidth="1"/>
    <col min="6895" max="6895" width="16.7109375" style="112" customWidth="1"/>
    <col min="6896" max="6897" width="17.5703125" style="112" customWidth="1"/>
    <col min="6898" max="6898" width="12.140625" style="112" bestFit="1" customWidth="1"/>
    <col min="6899" max="6899" width="9.28515625" style="112" bestFit="1" customWidth="1"/>
    <col min="6900" max="6900" width="12.140625" style="112" bestFit="1" customWidth="1"/>
    <col min="6901" max="6901" width="13.140625" style="112" bestFit="1" customWidth="1"/>
    <col min="6902" max="7142" width="9.140625" style="112"/>
    <col min="7143" max="7143" width="0" style="112" hidden="1" customWidth="1"/>
    <col min="7144" max="7144" width="3" style="112" customWidth="1"/>
    <col min="7145" max="7145" width="2.85546875" style="112" customWidth="1"/>
    <col min="7146" max="7146" width="3.28515625" style="112" customWidth="1"/>
    <col min="7147" max="7147" width="2.7109375" style="112" customWidth="1"/>
    <col min="7148" max="7148" width="54" style="112" customWidth="1"/>
    <col min="7149" max="7150" width="15.7109375" style="112" customWidth="1"/>
    <col min="7151" max="7151" width="16.7109375" style="112" customWidth="1"/>
    <col min="7152" max="7153" width="17.5703125" style="112" customWidth="1"/>
    <col min="7154" max="7154" width="12.140625" style="112" bestFit="1" customWidth="1"/>
    <col min="7155" max="7155" width="9.28515625" style="112" bestFit="1" customWidth="1"/>
    <col min="7156" max="7156" width="12.140625" style="112" bestFit="1" customWidth="1"/>
    <col min="7157" max="7157" width="13.140625" style="112" bestFit="1" customWidth="1"/>
    <col min="7158" max="7398" width="9.140625" style="112"/>
    <col min="7399" max="7399" width="0" style="112" hidden="1" customWidth="1"/>
    <col min="7400" max="7400" width="3" style="112" customWidth="1"/>
    <col min="7401" max="7401" width="2.85546875" style="112" customWidth="1"/>
    <col min="7402" max="7402" width="3.28515625" style="112" customWidth="1"/>
    <col min="7403" max="7403" width="2.7109375" style="112" customWidth="1"/>
    <col min="7404" max="7404" width="54" style="112" customWidth="1"/>
    <col min="7405" max="7406" width="15.7109375" style="112" customWidth="1"/>
    <col min="7407" max="7407" width="16.7109375" style="112" customWidth="1"/>
    <col min="7408" max="7409" width="17.5703125" style="112" customWidth="1"/>
    <col min="7410" max="7410" width="12.140625" style="112" bestFit="1" customWidth="1"/>
    <col min="7411" max="7411" width="9.28515625" style="112" bestFit="1" customWidth="1"/>
    <col min="7412" max="7412" width="12.140625" style="112" bestFit="1" customWidth="1"/>
    <col min="7413" max="7413" width="13.140625" style="112" bestFit="1" customWidth="1"/>
    <col min="7414" max="7654" width="9.140625" style="112"/>
    <col min="7655" max="7655" width="0" style="112" hidden="1" customWidth="1"/>
    <col min="7656" max="7656" width="3" style="112" customWidth="1"/>
    <col min="7657" max="7657" width="2.85546875" style="112" customWidth="1"/>
    <col min="7658" max="7658" width="3.28515625" style="112" customWidth="1"/>
    <col min="7659" max="7659" width="2.7109375" style="112" customWidth="1"/>
    <col min="7660" max="7660" width="54" style="112" customWidth="1"/>
    <col min="7661" max="7662" width="15.7109375" style="112" customWidth="1"/>
    <col min="7663" max="7663" width="16.7109375" style="112" customWidth="1"/>
    <col min="7664" max="7665" width="17.5703125" style="112" customWidth="1"/>
    <col min="7666" max="7666" width="12.140625" style="112" bestFit="1" customWidth="1"/>
    <col min="7667" max="7667" width="9.28515625" style="112" bestFit="1" customWidth="1"/>
    <col min="7668" max="7668" width="12.140625" style="112" bestFit="1" customWidth="1"/>
    <col min="7669" max="7669" width="13.140625" style="112" bestFit="1" customWidth="1"/>
    <col min="7670" max="7910" width="9.140625" style="112"/>
    <col min="7911" max="7911" width="0" style="112" hidden="1" customWidth="1"/>
    <col min="7912" max="7912" width="3" style="112" customWidth="1"/>
    <col min="7913" max="7913" width="2.85546875" style="112" customWidth="1"/>
    <col min="7914" max="7914" width="3.28515625" style="112" customWidth="1"/>
    <col min="7915" max="7915" width="2.7109375" style="112" customWidth="1"/>
    <col min="7916" max="7916" width="54" style="112" customWidth="1"/>
    <col min="7917" max="7918" width="15.7109375" style="112" customWidth="1"/>
    <col min="7919" max="7919" width="16.7109375" style="112" customWidth="1"/>
    <col min="7920" max="7921" width="17.5703125" style="112" customWidth="1"/>
    <col min="7922" max="7922" width="12.140625" style="112" bestFit="1" customWidth="1"/>
    <col min="7923" max="7923" width="9.28515625" style="112" bestFit="1" customWidth="1"/>
    <col min="7924" max="7924" width="12.140625" style="112" bestFit="1" customWidth="1"/>
    <col min="7925" max="7925" width="13.140625" style="112" bestFit="1" customWidth="1"/>
    <col min="7926" max="8166" width="9.140625" style="112"/>
    <col min="8167" max="8167" width="0" style="112" hidden="1" customWidth="1"/>
    <col min="8168" max="8168" width="3" style="112" customWidth="1"/>
    <col min="8169" max="8169" width="2.85546875" style="112" customWidth="1"/>
    <col min="8170" max="8170" width="3.28515625" style="112" customWidth="1"/>
    <col min="8171" max="8171" width="2.7109375" style="112" customWidth="1"/>
    <col min="8172" max="8172" width="54" style="112" customWidth="1"/>
    <col min="8173" max="8174" width="15.7109375" style="112" customWidth="1"/>
    <col min="8175" max="8175" width="16.7109375" style="112" customWidth="1"/>
    <col min="8176" max="8177" width="17.5703125" style="112" customWidth="1"/>
    <col min="8178" max="8178" width="12.140625" style="112" bestFit="1" customWidth="1"/>
    <col min="8179" max="8179" width="9.28515625" style="112" bestFit="1" customWidth="1"/>
    <col min="8180" max="8180" width="12.140625" style="112" bestFit="1" customWidth="1"/>
    <col min="8181" max="8181" width="13.140625" style="112" bestFit="1" customWidth="1"/>
    <col min="8182" max="8422" width="9.140625" style="112"/>
    <col min="8423" max="8423" width="0" style="112" hidden="1" customWidth="1"/>
    <col min="8424" max="8424" width="3" style="112" customWidth="1"/>
    <col min="8425" max="8425" width="2.85546875" style="112" customWidth="1"/>
    <col min="8426" max="8426" width="3.28515625" style="112" customWidth="1"/>
    <col min="8427" max="8427" width="2.7109375" style="112" customWidth="1"/>
    <col min="8428" max="8428" width="54" style="112" customWidth="1"/>
    <col min="8429" max="8430" width="15.7109375" style="112" customWidth="1"/>
    <col min="8431" max="8431" width="16.7109375" style="112" customWidth="1"/>
    <col min="8432" max="8433" width="17.5703125" style="112" customWidth="1"/>
    <col min="8434" max="8434" width="12.140625" style="112" bestFit="1" customWidth="1"/>
    <col min="8435" max="8435" width="9.28515625" style="112" bestFit="1" customWidth="1"/>
    <col min="8436" max="8436" width="12.140625" style="112" bestFit="1" customWidth="1"/>
    <col min="8437" max="8437" width="13.140625" style="112" bestFit="1" customWidth="1"/>
    <col min="8438" max="8678" width="9.140625" style="112"/>
    <col min="8679" max="8679" width="0" style="112" hidden="1" customWidth="1"/>
    <col min="8680" max="8680" width="3" style="112" customWidth="1"/>
    <col min="8681" max="8681" width="2.85546875" style="112" customWidth="1"/>
    <col min="8682" max="8682" width="3.28515625" style="112" customWidth="1"/>
    <col min="8683" max="8683" width="2.7109375" style="112" customWidth="1"/>
    <col min="8684" max="8684" width="54" style="112" customWidth="1"/>
    <col min="8685" max="8686" width="15.7109375" style="112" customWidth="1"/>
    <col min="8687" max="8687" width="16.7109375" style="112" customWidth="1"/>
    <col min="8688" max="8689" width="17.5703125" style="112" customWidth="1"/>
    <col min="8690" max="8690" width="12.140625" style="112" bestFit="1" customWidth="1"/>
    <col min="8691" max="8691" width="9.28515625" style="112" bestFit="1" customWidth="1"/>
    <col min="8692" max="8692" width="12.140625" style="112" bestFit="1" customWidth="1"/>
    <col min="8693" max="8693" width="13.140625" style="112" bestFit="1" customWidth="1"/>
    <col min="8694" max="8934" width="9.140625" style="112"/>
    <col min="8935" max="8935" width="0" style="112" hidden="1" customWidth="1"/>
    <col min="8936" max="8936" width="3" style="112" customWidth="1"/>
    <col min="8937" max="8937" width="2.85546875" style="112" customWidth="1"/>
    <col min="8938" max="8938" width="3.28515625" style="112" customWidth="1"/>
    <col min="8939" max="8939" width="2.7109375" style="112" customWidth="1"/>
    <col min="8940" max="8940" width="54" style="112" customWidth="1"/>
    <col min="8941" max="8942" width="15.7109375" style="112" customWidth="1"/>
    <col min="8943" max="8943" width="16.7109375" style="112" customWidth="1"/>
    <col min="8944" max="8945" width="17.5703125" style="112" customWidth="1"/>
    <col min="8946" max="8946" width="12.140625" style="112" bestFit="1" customWidth="1"/>
    <col min="8947" max="8947" width="9.28515625" style="112" bestFit="1" customWidth="1"/>
    <col min="8948" max="8948" width="12.140625" style="112" bestFit="1" customWidth="1"/>
    <col min="8949" max="8949" width="13.140625" style="112" bestFit="1" customWidth="1"/>
    <col min="8950" max="9190" width="9.140625" style="112"/>
    <col min="9191" max="9191" width="0" style="112" hidden="1" customWidth="1"/>
    <col min="9192" max="9192" width="3" style="112" customWidth="1"/>
    <col min="9193" max="9193" width="2.85546875" style="112" customWidth="1"/>
    <col min="9194" max="9194" width="3.28515625" style="112" customWidth="1"/>
    <col min="9195" max="9195" width="2.7109375" style="112" customWidth="1"/>
    <col min="9196" max="9196" width="54" style="112" customWidth="1"/>
    <col min="9197" max="9198" width="15.7109375" style="112" customWidth="1"/>
    <col min="9199" max="9199" width="16.7109375" style="112" customWidth="1"/>
    <col min="9200" max="9201" width="17.5703125" style="112" customWidth="1"/>
    <col min="9202" max="9202" width="12.140625" style="112" bestFit="1" customWidth="1"/>
    <col min="9203" max="9203" width="9.28515625" style="112" bestFit="1" customWidth="1"/>
    <col min="9204" max="9204" width="12.140625" style="112" bestFit="1" customWidth="1"/>
    <col min="9205" max="9205" width="13.140625" style="112" bestFit="1" customWidth="1"/>
    <col min="9206" max="9446" width="9.140625" style="112"/>
    <col min="9447" max="9447" width="0" style="112" hidden="1" customWidth="1"/>
    <col min="9448" max="9448" width="3" style="112" customWidth="1"/>
    <col min="9449" max="9449" width="2.85546875" style="112" customWidth="1"/>
    <col min="9450" max="9450" width="3.28515625" style="112" customWidth="1"/>
    <col min="9451" max="9451" width="2.7109375" style="112" customWidth="1"/>
    <col min="9452" max="9452" width="54" style="112" customWidth="1"/>
    <col min="9453" max="9454" width="15.7109375" style="112" customWidth="1"/>
    <col min="9455" max="9455" width="16.7109375" style="112" customWidth="1"/>
    <col min="9456" max="9457" width="17.5703125" style="112" customWidth="1"/>
    <col min="9458" max="9458" width="12.140625" style="112" bestFit="1" customWidth="1"/>
    <col min="9459" max="9459" width="9.28515625" style="112" bestFit="1" customWidth="1"/>
    <col min="9460" max="9460" width="12.140625" style="112" bestFit="1" customWidth="1"/>
    <col min="9461" max="9461" width="13.140625" style="112" bestFit="1" customWidth="1"/>
    <col min="9462" max="9702" width="9.140625" style="112"/>
    <col min="9703" max="9703" width="0" style="112" hidden="1" customWidth="1"/>
    <col min="9704" max="9704" width="3" style="112" customWidth="1"/>
    <col min="9705" max="9705" width="2.85546875" style="112" customWidth="1"/>
    <col min="9706" max="9706" width="3.28515625" style="112" customWidth="1"/>
    <col min="9707" max="9707" width="2.7109375" style="112" customWidth="1"/>
    <col min="9708" max="9708" width="54" style="112" customWidth="1"/>
    <col min="9709" max="9710" width="15.7109375" style="112" customWidth="1"/>
    <col min="9711" max="9711" width="16.7109375" style="112" customWidth="1"/>
    <col min="9712" max="9713" width="17.5703125" style="112" customWidth="1"/>
    <col min="9714" max="9714" width="12.140625" style="112" bestFit="1" customWidth="1"/>
    <col min="9715" max="9715" width="9.28515625" style="112" bestFit="1" customWidth="1"/>
    <col min="9716" max="9716" width="12.140625" style="112" bestFit="1" customWidth="1"/>
    <col min="9717" max="9717" width="13.140625" style="112" bestFit="1" customWidth="1"/>
    <col min="9718" max="9958" width="9.140625" style="112"/>
    <col min="9959" max="9959" width="0" style="112" hidden="1" customWidth="1"/>
    <col min="9960" max="9960" width="3" style="112" customWidth="1"/>
    <col min="9961" max="9961" width="2.85546875" style="112" customWidth="1"/>
    <col min="9962" max="9962" width="3.28515625" style="112" customWidth="1"/>
    <col min="9963" max="9963" width="2.7109375" style="112" customWidth="1"/>
    <col min="9964" max="9964" width="54" style="112" customWidth="1"/>
    <col min="9965" max="9966" width="15.7109375" style="112" customWidth="1"/>
    <col min="9967" max="9967" width="16.7109375" style="112" customWidth="1"/>
    <col min="9968" max="9969" width="17.5703125" style="112" customWidth="1"/>
    <col min="9970" max="9970" width="12.140625" style="112" bestFit="1" customWidth="1"/>
    <col min="9971" max="9971" width="9.28515625" style="112" bestFit="1" customWidth="1"/>
    <col min="9972" max="9972" width="12.140625" style="112" bestFit="1" customWidth="1"/>
    <col min="9973" max="9973" width="13.140625" style="112" bestFit="1" customWidth="1"/>
    <col min="9974" max="10214" width="9.140625" style="112"/>
    <col min="10215" max="10215" width="0" style="112" hidden="1" customWidth="1"/>
    <col min="10216" max="10216" width="3" style="112" customWidth="1"/>
    <col min="10217" max="10217" width="2.85546875" style="112" customWidth="1"/>
    <col min="10218" max="10218" width="3.28515625" style="112" customWidth="1"/>
    <col min="10219" max="10219" width="2.7109375" style="112" customWidth="1"/>
    <col min="10220" max="10220" width="54" style="112" customWidth="1"/>
    <col min="10221" max="10222" width="15.7109375" style="112" customWidth="1"/>
    <col min="10223" max="10223" width="16.7109375" style="112" customWidth="1"/>
    <col min="10224" max="10225" width="17.5703125" style="112" customWidth="1"/>
    <col min="10226" max="10226" width="12.140625" style="112" bestFit="1" customWidth="1"/>
    <col min="10227" max="10227" width="9.28515625" style="112" bestFit="1" customWidth="1"/>
    <col min="10228" max="10228" width="12.140625" style="112" bestFit="1" customWidth="1"/>
    <col min="10229" max="10229" width="13.140625" style="112" bestFit="1" customWidth="1"/>
    <col min="10230" max="10470" width="9.140625" style="112"/>
    <col min="10471" max="10471" width="0" style="112" hidden="1" customWidth="1"/>
    <col min="10472" max="10472" width="3" style="112" customWidth="1"/>
    <col min="10473" max="10473" width="2.85546875" style="112" customWidth="1"/>
    <col min="10474" max="10474" width="3.28515625" style="112" customWidth="1"/>
    <col min="10475" max="10475" width="2.7109375" style="112" customWidth="1"/>
    <col min="10476" max="10476" width="54" style="112" customWidth="1"/>
    <col min="10477" max="10478" width="15.7109375" style="112" customWidth="1"/>
    <col min="10479" max="10479" width="16.7109375" style="112" customWidth="1"/>
    <col min="10480" max="10481" width="17.5703125" style="112" customWidth="1"/>
    <col min="10482" max="10482" width="12.140625" style="112" bestFit="1" customWidth="1"/>
    <col min="10483" max="10483" width="9.28515625" style="112" bestFit="1" customWidth="1"/>
    <col min="10484" max="10484" width="12.140625" style="112" bestFit="1" customWidth="1"/>
    <col min="10485" max="10485" width="13.140625" style="112" bestFit="1" customWidth="1"/>
    <col min="10486" max="10726" width="9.140625" style="112"/>
    <col min="10727" max="10727" width="0" style="112" hidden="1" customWidth="1"/>
    <col min="10728" max="10728" width="3" style="112" customWidth="1"/>
    <col min="10729" max="10729" width="2.85546875" style="112" customWidth="1"/>
    <col min="10730" max="10730" width="3.28515625" style="112" customWidth="1"/>
    <col min="10731" max="10731" width="2.7109375" style="112" customWidth="1"/>
    <col min="10732" max="10732" width="54" style="112" customWidth="1"/>
    <col min="10733" max="10734" width="15.7109375" style="112" customWidth="1"/>
    <col min="10735" max="10735" width="16.7109375" style="112" customWidth="1"/>
    <col min="10736" max="10737" width="17.5703125" style="112" customWidth="1"/>
    <col min="10738" max="10738" width="12.140625" style="112" bestFit="1" customWidth="1"/>
    <col min="10739" max="10739" width="9.28515625" style="112" bestFit="1" customWidth="1"/>
    <col min="10740" max="10740" width="12.140625" style="112" bestFit="1" customWidth="1"/>
    <col min="10741" max="10741" width="13.140625" style="112" bestFit="1" customWidth="1"/>
    <col min="10742" max="10982" width="9.140625" style="112"/>
    <col min="10983" max="10983" width="0" style="112" hidden="1" customWidth="1"/>
    <col min="10984" max="10984" width="3" style="112" customWidth="1"/>
    <col min="10985" max="10985" width="2.85546875" style="112" customWidth="1"/>
    <col min="10986" max="10986" width="3.28515625" style="112" customWidth="1"/>
    <col min="10987" max="10987" width="2.7109375" style="112" customWidth="1"/>
    <col min="10988" max="10988" width="54" style="112" customWidth="1"/>
    <col min="10989" max="10990" width="15.7109375" style="112" customWidth="1"/>
    <col min="10991" max="10991" width="16.7109375" style="112" customWidth="1"/>
    <col min="10992" max="10993" width="17.5703125" style="112" customWidth="1"/>
    <col min="10994" max="10994" width="12.140625" style="112" bestFit="1" customWidth="1"/>
    <col min="10995" max="10995" width="9.28515625" style="112" bestFit="1" customWidth="1"/>
    <col min="10996" max="10996" width="12.140625" style="112" bestFit="1" customWidth="1"/>
    <col min="10997" max="10997" width="13.140625" style="112" bestFit="1" customWidth="1"/>
    <col min="10998" max="11238" width="9.140625" style="112"/>
    <col min="11239" max="11239" width="0" style="112" hidden="1" customWidth="1"/>
    <col min="11240" max="11240" width="3" style="112" customWidth="1"/>
    <col min="11241" max="11241" width="2.85546875" style="112" customWidth="1"/>
    <col min="11242" max="11242" width="3.28515625" style="112" customWidth="1"/>
    <col min="11243" max="11243" width="2.7109375" style="112" customWidth="1"/>
    <col min="11244" max="11244" width="54" style="112" customWidth="1"/>
    <col min="11245" max="11246" width="15.7109375" style="112" customWidth="1"/>
    <col min="11247" max="11247" width="16.7109375" style="112" customWidth="1"/>
    <col min="11248" max="11249" width="17.5703125" style="112" customWidth="1"/>
    <col min="11250" max="11250" width="12.140625" style="112" bestFit="1" customWidth="1"/>
    <col min="11251" max="11251" width="9.28515625" style="112" bestFit="1" customWidth="1"/>
    <col min="11252" max="11252" width="12.140625" style="112" bestFit="1" customWidth="1"/>
    <col min="11253" max="11253" width="13.140625" style="112" bestFit="1" customWidth="1"/>
    <col min="11254" max="11494" width="9.140625" style="112"/>
    <col min="11495" max="11495" width="0" style="112" hidden="1" customWidth="1"/>
    <col min="11496" max="11496" width="3" style="112" customWidth="1"/>
    <col min="11497" max="11497" width="2.85546875" style="112" customWidth="1"/>
    <col min="11498" max="11498" width="3.28515625" style="112" customWidth="1"/>
    <col min="11499" max="11499" width="2.7109375" style="112" customWidth="1"/>
    <col min="11500" max="11500" width="54" style="112" customWidth="1"/>
    <col min="11501" max="11502" width="15.7109375" style="112" customWidth="1"/>
    <col min="11503" max="11503" width="16.7109375" style="112" customWidth="1"/>
    <col min="11504" max="11505" width="17.5703125" style="112" customWidth="1"/>
    <col min="11506" max="11506" width="12.140625" style="112" bestFit="1" customWidth="1"/>
    <col min="11507" max="11507" width="9.28515625" style="112" bestFit="1" customWidth="1"/>
    <col min="11508" max="11508" width="12.140625" style="112" bestFit="1" customWidth="1"/>
    <col min="11509" max="11509" width="13.140625" style="112" bestFit="1" customWidth="1"/>
    <col min="11510" max="11750" width="9.140625" style="112"/>
    <col min="11751" max="11751" width="0" style="112" hidden="1" customWidth="1"/>
    <col min="11752" max="11752" width="3" style="112" customWidth="1"/>
    <col min="11753" max="11753" width="2.85546875" style="112" customWidth="1"/>
    <col min="11754" max="11754" width="3.28515625" style="112" customWidth="1"/>
    <col min="11755" max="11755" width="2.7109375" style="112" customWidth="1"/>
    <col min="11756" max="11756" width="54" style="112" customWidth="1"/>
    <col min="11757" max="11758" width="15.7109375" style="112" customWidth="1"/>
    <col min="11759" max="11759" width="16.7109375" style="112" customWidth="1"/>
    <col min="11760" max="11761" width="17.5703125" style="112" customWidth="1"/>
    <col min="11762" max="11762" width="12.140625" style="112" bestFit="1" customWidth="1"/>
    <col min="11763" max="11763" width="9.28515625" style="112" bestFit="1" customWidth="1"/>
    <col min="11764" max="11764" width="12.140625" style="112" bestFit="1" customWidth="1"/>
    <col min="11765" max="11765" width="13.140625" style="112" bestFit="1" customWidth="1"/>
    <col min="11766" max="12006" width="9.140625" style="112"/>
    <col min="12007" max="12007" width="0" style="112" hidden="1" customWidth="1"/>
    <col min="12008" max="12008" width="3" style="112" customWidth="1"/>
    <col min="12009" max="12009" width="2.85546875" style="112" customWidth="1"/>
    <col min="12010" max="12010" width="3.28515625" style="112" customWidth="1"/>
    <col min="12011" max="12011" width="2.7109375" style="112" customWidth="1"/>
    <col min="12012" max="12012" width="54" style="112" customWidth="1"/>
    <col min="12013" max="12014" width="15.7109375" style="112" customWidth="1"/>
    <col min="12015" max="12015" width="16.7109375" style="112" customWidth="1"/>
    <col min="12016" max="12017" width="17.5703125" style="112" customWidth="1"/>
    <col min="12018" max="12018" width="12.140625" style="112" bestFit="1" customWidth="1"/>
    <col min="12019" max="12019" width="9.28515625" style="112" bestFit="1" customWidth="1"/>
    <col min="12020" max="12020" width="12.140625" style="112" bestFit="1" customWidth="1"/>
    <col min="12021" max="12021" width="13.140625" style="112" bestFit="1" customWidth="1"/>
    <col min="12022" max="12262" width="9.140625" style="112"/>
    <col min="12263" max="12263" width="0" style="112" hidden="1" customWidth="1"/>
    <col min="12264" max="12264" width="3" style="112" customWidth="1"/>
    <col min="12265" max="12265" width="2.85546875" style="112" customWidth="1"/>
    <col min="12266" max="12266" width="3.28515625" style="112" customWidth="1"/>
    <col min="12267" max="12267" width="2.7109375" style="112" customWidth="1"/>
    <col min="12268" max="12268" width="54" style="112" customWidth="1"/>
    <col min="12269" max="12270" width="15.7109375" style="112" customWidth="1"/>
    <col min="12271" max="12271" width="16.7109375" style="112" customWidth="1"/>
    <col min="12272" max="12273" width="17.5703125" style="112" customWidth="1"/>
    <col min="12274" max="12274" width="12.140625" style="112" bestFit="1" customWidth="1"/>
    <col min="12275" max="12275" width="9.28515625" style="112" bestFit="1" customWidth="1"/>
    <col min="12276" max="12276" width="12.140625" style="112" bestFit="1" customWidth="1"/>
    <col min="12277" max="12277" width="13.140625" style="112" bestFit="1" customWidth="1"/>
    <col min="12278" max="12518" width="9.140625" style="112"/>
    <col min="12519" max="12519" width="0" style="112" hidden="1" customWidth="1"/>
    <col min="12520" max="12520" width="3" style="112" customWidth="1"/>
    <col min="12521" max="12521" width="2.85546875" style="112" customWidth="1"/>
    <col min="12522" max="12522" width="3.28515625" style="112" customWidth="1"/>
    <col min="12523" max="12523" width="2.7109375" style="112" customWidth="1"/>
    <col min="12524" max="12524" width="54" style="112" customWidth="1"/>
    <col min="12525" max="12526" width="15.7109375" style="112" customWidth="1"/>
    <col min="12527" max="12527" width="16.7109375" style="112" customWidth="1"/>
    <col min="12528" max="12529" width="17.5703125" style="112" customWidth="1"/>
    <col min="12530" max="12530" width="12.140625" style="112" bestFit="1" customWidth="1"/>
    <col min="12531" max="12531" width="9.28515625" style="112" bestFit="1" customWidth="1"/>
    <col min="12532" max="12532" width="12.140625" style="112" bestFit="1" customWidth="1"/>
    <col min="12533" max="12533" width="13.140625" style="112" bestFit="1" customWidth="1"/>
    <col min="12534" max="12774" width="9.140625" style="112"/>
    <col min="12775" max="12775" width="0" style="112" hidden="1" customWidth="1"/>
    <col min="12776" max="12776" width="3" style="112" customWidth="1"/>
    <col min="12777" max="12777" width="2.85546875" style="112" customWidth="1"/>
    <col min="12778" max="12778" width="3.28515625" style="112" customWidth="1"/>
    <col min="12779" max="12779" width="2.7109375" style="112" customWidth="1"/>
    <col min="12780" max="12780" width="54" style="112" customWidth="1"/>
    <col min="12781" max="12782" width="15.7109375" style="112" customWidth="1"/>
    <col min="12783" max="12783" width="16.7109375" style="112" customWidth="1"/>
    <col min="12784" max="12785" width="17.5703125" style="112" customWidth="1"/>
    <col min="12786" max="12786" width="12.140625" style="112" bestFit="1" customWidth="1"/>
    <col min="12787" max="12787" width="9.28515625" style="112" bestFit="1" customWidth="1"/>
    <col min="12788" max="12788" width="12.140625" style="112" bestFit="1" customWidth="1"/>
    <col min="12789" max="12789" width="13.140625" style="112" bestFit="1" customWidth="1"/>
    <col min="12790" max="13030" width="9.140625" style="112"/>
    <col min="13031" max="13031" width="0" style="112" hidden="1" customWidth="1"/>
    <col min="13032" max="13032" width="3" style="112" customWidth="1"/>
    <col min="13033" max="13033" width="2.85546875" style="112" customWidth="1"/>
    <col min="13034" max="13034" width="3.28515625" style="112" customWidth="1"/>
    <col min="13035" max="13035" width="2.7109375" style="112" customWidth="1"/>
    <col min="13036" max="13036" width="54" style="112" customWidth="1"/>
    <col min="13037" max="13038" width="15.7109375" style="112" customWidth="1"/>
    <col min="13039" max="13039" width="16.7109375" style="112" customWidth="1"/>
    <col min="13040" max="13041" width="17.5703125" style="112" customWidth="1"/>
    <col min="13042" max="13042" width="12.140625" style="112" bestFit="1" customWidth="1"/>
    <col min="13043" max="13043" width="9.28515625" style="112" bestFit="1" customWidth="1"/>
    <col min="13044" max="13044" width="12.140625" style="112" bestFit="1" customWidth="1"/>
    <col min="13045" max="13045" width="13.140625" style="112" bestFit="1" customWidth="1"/>
    <col min="13046" max="13286" width="9.140625" style="112"/>
    <col min="13287" max="13287" width="0" style="112" hidden="1" customWidth="1"/>
    <col min="13288" max="13288" width="3" style="112" customWidth="1"/>
    <col min="13289" max="13289" width="2.85546875" style="112" customWidth="1"/>
    <col min="13290" max="13290" width="3.28515625" style="112" customWidth="1"/>
    <col min="13291" max="13291" width="2.7109375" style="112" customWidth="1"/>
    <col min="13292" max="13292" width="54" style="112" customWidth="1"/>
    <col min="13293" max="13294" width="15.7109375" style="112" customWidth="1"/>
    <col min="13295" max="13295" width="16.7109375" style="112" customWidth="1"/>
    <col min="13296" max="13297" width="17.5703125" style="112" customWidth="1"/>
    <col min="13298" max="13298" width="12.140625" style="112" bestFit="1" customWidth="1"/>
    <col min="13299" max="13299" width="9.28515625" style="112" bestFit="1" customWidth="1"/>
    <col min="13300" max="13300" width="12.140625" style="112" bestFit="1" customWidth="1"/>
    <col min="13301" max="13301" width="13.140625" style="112" bestFit="1" customWidth="1"/>
    <col min="13302" max="13542" width="9.140625" style="112"/>
    <col min="13543" max="13543" width="0" style="112" hidden="1" customWidth="1"/>
    <col min="13544" max="13544" width="3" style="112" customWidth="1"/>
    <col min="13545" max="13545" width="2.85546875" style="112" customWidth="1"/>
    <col min="13546" max="13546" width="3.28515625" style="112" customWidth="1"/>
    <col min="13547" max="13547" width="2.7109375" style="112" customWidth="1"/>
    <col min="13548" max="13548" width="54" style="112" customWidth="1"/>
    <col min="13549" max="13550" width="15.7109375" style="112" customWidth="1"/>
    <col min="13551" max="13551" width="16.7109375" style="112" customWidth="1"/>
    <col min="13552" max="13553" width="17.5703125" style="112" customWidth="1"/>
    <col min="13554" max="13554" width="12.140625" style="112" bestFit="1" customWidth="1"/>
    <col min="13555" max="13555" width="9.28515625" style="112" bestFit="1" customWidth="1"/>
    <col min="13556" max="13556" width="12.140625" style="112" bestFit="1" customWidth="1"/>
    <col min="13557" max="13557" width="13.140625" style="112" bestFit="1" customWidth="1"/>
    <col min="13558" max="13798" width="9.140625" style="112"/>
    <col min="13799" max="13799" width="0" style="112" hidden="1" customWidth="1"/>
    <col min="13800" max="13800" width="3" style="112" customWidth="1"/>
    <col min="13801" max="13801" width="2.85546875" style="112" customWidth="1"/>
    <col min="13802" max="13802" width="3.28515625" style="112" customWidth="1"/>
    <col min="13803" max="13803" width="2.7109375" style="112" customWidth="1"/>
    <col min="13804" max="13804" width="54" style="112" customWidth="1"/>
    <col min="13805" max="13806" width="15.7109375" style="112" customWidth="1"/>
    <col min="13807" max="13807" width="16.7109375" style="112" customWidth="1"/>
    <col min="13808" max="13809" width="17.5703125" style="112" customWidth="1"/>
    <col min="13810" max="13810" width="12.140625" style="112" bestFit="1" customWidth="1"/>
    <col min="13811" max="13811" width="9.28515625" style="112" bestFit="1" customWidth="1"/>
    <col min="13812" max="13812" width="12.140625" style="112" bestFit="1" customWidth="1"/>
    <col min="13813" max="13813" width="13.140625" style="112" bestFit="1" customWidth="1"/>
    <col min="13814" max="14054" width="9.140625" style="112"/>
    <col min="14055" max="14055" width="0" style="112" hidden="1" customWidth="1"/>
    <col min="14056" max="14056" width="3" style="112" customWidth="1"/>
    <col min="14057" max="14057" width="2.85546875" style="112" customWidth="1"/>
    <col min="14058" max="14058" width="3.28515625" style="112" customWidth="1"/>
    <col min="14059" max="14059" width="2.7109375" style="112" customWidth="1"/>
    <col min="14060" max="14060" width="54" style="112" customWidth="1"/>
    <col min="14061" max="14062" width="15.7109375" style="112" customWidth="1"/>
    <col min="14063" max="14063" width="16.7109375" style="112" customWidth="1"/>
    <col min="14064" max="14065" width="17.5703125" style="112" customWidth="1"/>
    <col min="14066" max="14066" width="12.140625" style="112" bestFit="1" customWidth="1"/>
    <col min="14067" max="14067" width="9.28515625" style="112" bestFit="1" customWidth="1"/>
    <col min="14068" max="14068" width="12.140625" style="112" bestFit="1" customWidth="1"/>
    <col min="14069" max="14069" width="13.140625" style="112" bestFit="1" customWidth="1"/>
    <col min="14070" max="14310" width="9.140625" style="112"/>
    <col min="14311" max="14311" width="0" style="112" hidden="1" customWidth="1"/>
    <col min="14312" max="14312" width="3" style="112" customWidth="1"/>
    <col min="14313" max="14313" width="2.85546875" style="112" customWidth="1"/>
    <col min="14314" max="14314" width="3.28515625" style="112" customWidth="1"/>
    <col min="14315" max="14315" width="2.7109375" style="112" customWidth="1"/>
    <col min="14316" max="14316" width="54" style="112" customWidth="1"/>
    <col min="14317" max="14318" width="15.7109375" style="112" customWidth="1"/>
    <col min="14319" max="14319" width="16.7109375" style="112" customWidth="1"/>
    <col min="14320" max="14321" width="17.5703125" style="112" customWidth="1"/>
    <col min="14322" max="14322" width="12.140625" style="112" bestFit="1" customWidth="1"/>
    <col min="14323" max="14323" width="9.28515625" style="112" bestFit="1" customWidth="1"/>
    <col min="14324" max="14324" width="12.140625" style="112" bestFit="1" customWidth="1"/>
    <col min="14325" max="14325" width="13.140625" style="112" bestFit="1" customWidth="1"/>
    <col min="14326" max="14566" width="9.140625" style="112"/>
    <col min="14567" max="14567" width="0" style="112" hidden="1" customWidth="1"/>
    <col min="14568" max="14568" width="3" style="112" customWidth="1"/>
    <col min="14569" max="14569" width="2.85546875" style="112" customWidth="1"/>
    <col min="14570" max="14570" width="3.28515625" style="112" customWidth="1"/>
    <col min="14571" max="14571" width="2.7109375" style="112" customWidth="1"/>
    <col min="14572" max="14572" width="54" style="112" customWidth="1"/>
    <col min="14573" max="14574" width="15.7109375" style="112" customWidth="1"/>
    <col min="14575" max="14575" width="16.7109375" style="112" customWidth="1"/>
    <col min="14576" max="14577" width="17.5703125" style="112" customWidth="1"/>
    <col min="14578" max="14578" width="12.140625" style="112" bestFit="1" customWidth="1"/>
    <col min="14579" max="14579" width="9.28515625" style="112" bestFit="1" customWidth="1"/>
    <col min="14580" max="14580" width="12.140625" style="112" bestFit="1" customWidth="1"/>
    <col min="14581" max="14581" width="13.140625" style="112" bestFit="1" customWidth="1"/>
    <col min="14582" max="14822" width="9.140625" style="112"/>
    <col min="14823" max="14823" width="0" style="112" hidden="1" customWidth="1"/>
    <col min="14824" max="14824" width="3" style="112" customWidth="1"/>
    <col min="14825" max="14825" width="2.85546875" style="112" customWidth="1"/>
    <col min="14826" max="14826" width="3.28515625" style="112" customWidth="1"/>
    <col min="14827" max="14827" width="2.7109375" style="112" customWidth="1"/>
    <col min="14828" max="14828" width="54" style="112" customWidth="1"/>
    <col min="14829" max="14830" width="15.7109375" style="112" customWidth="1"/>
    <col min="14831" max="14831" width="16.7109375" style="112" customWidth="1"/>
    <col min="14832" max="14833" width="17.5703125" style="112" customWidth="1"/>
    <col min="14834" max="14834" width="12.140625" style="112" bestFit="1" customWidth="1"/>
    <col min="14835" max="14835" width="9.28515625" style="112" bestFit="1" customWidth="1"/>
    <col min="14836" max="14836" width="12.140625" style="112" bestFit="1" customWidth="1"/>
    <col min="14837" max="14837" width="13.140625" style="112" bestFit="1" customWidth="1"/>
    <col min="14838" max="15078" width="9.140625" style="112"/>
    <col min="15079" max="15079" width="0" style="112" hidden="1" customWidth="1"/>
    <col min="15080" max="15080" width="3" style="112" customWidth="1"/>
    <col min="15081" max="15081" width="2.85546875" style="112" customWidth="1"/>
    <col min="15082" max="15082" width="3.28515625" style="112" customWidth="1"/>
    <col min="15083" max="15083" width="2.7109375" style="112" customWidth="1"/>
    <col min="15084" max="15084" width="54" style="112" customWidth="1"/>
    <col min="15085" max="15086" width="15.7109375" style="112" customWidth="1"/>
    <col min="15087" max="15087" width="16.7109375" style="112" customWidth="1"/>
    <col min="15088" max="15089" width="17.5703125" style="112" customWidth="1"/>
    <col min="15090" max="15090" width="12.140625" style="112" bestFit="1" customWidth="1"/>
    <col min="15091" max="15091" width="9.28515625" style="112" bestFit="1" customWidth="1"/>
    <col min="15092" max="15092" width="12.140625" style="112" bestFit="1" customWidth="1"/>
    <col min="15093" max="15093" width="13.140625" style="112" bestFit="1" customWidth="1"/>
    <col min="15094" max="15334" width="9.140625" style="112"/>
    <col min="15335" max="15335" width="0" style="112" hidden="1" customWidth="1"/>
    <col min="15336" max="15336" width="3" style="112" customWidth="1"/>
    <col min="15337" max="15337" width="2.85546875" style="112" customWidth="1"/>
    <col min="15338" max="15338" width="3.28515625" style="112" customWidth="1"/>
    <col min="15339" max="15339" width="2.7109375" style="112" customWidth="1"/>
    <col min="15340" max="15340" width="54" style="112" customWidth="1"/>
    <col min="15341" max="15342" width="15.7109375" style="112" customWidth="1"/>
    <col min="15343" max="15343" width="16.7109375" style="112" customWidth="1"/>
    <col min="15344" max="15345" width="17.5703125" style="112" customWidth="1"/>
    <col min="15346" max="15346" width="12.140625" style="112" bestFit="1" customWidth="1"/>
    <col min="15347" max="15347" width="9.28515625" style="112" bestFit="1" customWidth="1"/>
    <col min="15348" max="15348" width="12.140625" style="112" bestFit="1" customWidth="1"/>
    <col min="15349" max="15349" width="13.140625" style="112" bestFit="1" customWidth="1"/>
    <col min="15350" max="15590" width="9.140625" style="112"/>
    <col min="15591" max="15591" width="0" style="112" hidden="1" customWidth="1"/>
    <col min="15592" max="15592" width="3" style="112" customWidth="1"/>
    <col min="15593" max="15593" width="2.85546875" style="112" customWidth="1"/>
    <col min="15594" max="15594" width="3.28515625" style="112" customWidth="1"/>
    <col min="15595" max="15595" width="2.7109375" style="112" customWidth="1"/>
    <col min="15596" max="15596" width="54" style="112" customWidth="1"/>
    <col min="15597" max="15598" width="15.7109375" style="112" customWidth="1"/>
    <col min="15599" max="15599" width="16.7109375" style="112" customWidth="1"/>
    <col min="15600" max="15601" width="17.5703125" style="112" customWidth="1"/>
    <col min="15602" max="15602" width="12.140625" style="112" bestFit="1" customWidth="1"/>
    <col min="15603" max="15603" width="9.28515625" style="112" bestFit="1" customWidth="1"/>
    <col min="15604" max="15604" width="12.140625" style="112" bestFit="1" customWidth="1"/>
    <col min="15605" max="15605" width="13.140625" style="112" bestFit="1" customWidth="1"/>
    <col min="15606" max="15846" width="9.140625" style="112"/>
    <col min="15847" max="15847" width="0" style="112" hidden="1" customWidth="1"/>
    <col min="15848" max="15848" width="3" style="112" customWidth="1"/>
    <col min="15849" max="15849" width="2.85546875" style="112" customWidth="1"/>
    <col min="15850" max="15850" width="3.28515625" style="112" customWidth="1"/>
    <col min="15851" max="15851" width="2.7109375" style="112" customWidth="1"/>
    <col min="15852" max="15852" width="54" style="112" customWidth="1"/>
    <col min="15853" max="15854" width="15.7109375" style="112" customWidth="1"/>
    <col min="15855" max="15855" width="16.7109375" style="112" customWidth="1"/>
    <col min="15856" max="15857" width="17.5703125" style="112" customWidth="1"/>
    <col min="15858" max="15858" width="12.140625" style="112" bestFit="1" customWidth="1"/>
    <col min="15859" max="15859" width="9.28515625" style="112" bestFit="1" customWidth="1"/>
    <col min="15860" max="15860" width="12.140625" style="112" bestFit="1" customWidth="1"/>
    <col min="15861" max="15861" width="13.140625" style="112" bestFit="1" customWidth="1"/>
    <col min="15862" max="16102" width="9.140625" style="112"/>
    <col min="16103" max="16103" width="0" style="112" hidden="1" customWidth="1"/>
    <col min="16104" max="16104" width="3" style="112" customWidth="1"/>
    <col min="16105" max="16105" width="2.85546875" style="112" customWidth="1"/>
    <col min="16106" max="16106" width="3.28515625" style="112" customWidth="1"/>
    <col min="16107" max="16107" width="2.7109375" style="112" customWidth="1"/>
    <col min="16108" max="16108" width="54" style="112" customWidth="1"/>
    <col min="16109" max="16110" width="15.7109375" style="112" customWidth="1"/>
    <col min="16111" max="16111" width="16.7109375" style="112" customWidth="1"/>
    <col min="16112" max="16113" width="17.5703125" style="112" customWidth="1"/>
    <col min="16114" max="16114" width="12.140625" style="112" bestFit="1" customWidth="1"/>
    <col min="16115" max="16115" width="9.28515625" style="112" bestFit="1" customWidth="1"/>
    <col min="16116" max="16116" width="12.140625" style="112" bestFit="1" customWidth="1"/>
    <col min="16117" max="16117" width="13.140625" style="112" bestFit="1" customWidth="1"/>
    <col min="16118" max="16384" width="9.140625" style="112"/>
  </cols>
  <sheetData>
    <row r="1" spans="1:27" s="7" customFormat="1" ht="50.1" customHeight="1" x14ac:dyDescent="0.2">
      <c r="A1" s="1" t="s">
        <v>0</v>
      </c>
      <c r="B1" s="128" t="s">
        <v>1</v>
      </c>
      <c r="C1" s="128"/>
      <c r="D1" s="128"/>
      <c r="E1" s="128"/>
      <c r="F1" s="128"/>
      <c r="G1" s="2" t="s">
        <v>2</v>
      </c>
      <c r="H1" s="2" t="s">
        <v>3</v>
      </c>
      <c r="I1" s="2" t="s">
        <v>4</v>
      </c>
      <c r="J1" s="2" t="s">
        <v>5</v>
      </c>
      <c r="K1" s="2" t="s">
        <v>6</v>
      </c>
      <c r="L1" s="2" t="s">
        <v>7</v>
      </c>
      <c r="M1" s="3" t="s">
        <v>8</v>
      </c>
      <c r="N1" s="4" t="s">
        <v>9</v>
      </c>
      <c r="O1" s="4" t="s">
        <v>10</v>
      </c>
      <c r="P1" s="4" t="s">
        <v>11</v>
      </c>
      <c r="Q1" s="5" t="s">
        <v>12</v>
      </c>
      <c r="R1" s="5" t="s">
        <v>13</v>
      </c>
      <c r="S1" s="4" t="s">
        <v>14</v>
      </c>
      <c r="T1" s="6" t="s">
        <v>15</v>
      </c>
      <c r="W1" s="8"/>
      <c r="X1" s="8"/>
    </row>
    <row r="2" spans="1:27" s="17" customFormat="1" ht="18" customHeight="1" x14ac:dyDescent="0.2">
      <c r="A2" s="9" t="s">
        <v>16</v>
      </c>
      <c r="B2" s="9" t="s">
        <v>17</v>
      </c>
      <c r="C2" s="9"/>
      <c r="D2" s="9"/>
      <c r="E2" s="10"/>
      <c r="F2" s="9"/>
      <c r="G2" s="11">
        <f t="shared" ref="G2:J2" si="0">G3+G48</f>
        <v>13857700</v>
      </c>
      <c r="H2" s="11">
        <f t="shared" si="0"/>
        <v>14100321.379999999</v>
      </c>
      <c r="I2" s="11">
        <f t="shared" si="0"/>
        <v>14232146.16</v>
      </c>
      <c r="J2" s="11">
        <f t="shared" si="0"/>
        <v>14906982.83</v>
      </c>
      <c r="K2" s="11">
        <f>K3+K48</f>
        <v>15354348.08</v>
      </c>
      <c r="L2" s="11">
        <f>L3+L48</f>
        <v>15000017.620000001</v>
      </c>
      <c r="M2" s="12">
        <f t="shared" ref="M2:M12" si="1">J2-I2</f>
        <v>674836.66999999993</v>
      </c>
      <c r="N2" s="12">
        <f t="shared" ref="N2:N12" si="2">J2-G2</f>
        <v>1049282.83</v>
      </c>
      <c r="O2" s="13">
        <f t="shared" ref="O2:O65" si="3">K2-J2</f>
        <v>447365.25</v>
      </c>
      <c r="P2" s="13">
        <f t="shared" ref="P2:P65" si="4">K2-G2</f>
        <v>1496648.08</v>
      </c>
      <c r="Q2" s="14"/>
      <c r="R2" s="14"/>
      <c r="S2" s="15"/>
      <c r="T2" s="16" t="e">
        <f>#REF!-#REF!</f>
        <v>#REF!</v>
      </c>
      <c r="W2" s="18"/>
      <c r="X2" s="18"/>
      <c r="AA2" s="19"/>
    </row>
    <row r="3" spans="1:27" s="17" customFormat="1" ht="18" customHeight="1" x14ac:dyDescent="0.2">
      <c r="A3" s="20" t="s">
        <v>16</v>
      </c>
      <c r="B3" s="21"/>
      <c r="C3" s="22" t="s">
        <v>18</v>
      </c>
      <c r="D3" s="9"/>
      <c r="E3" s="10"/>
      <c r="F3" s="9"/>
      <c r="G3" s="11">
        <f t="shared" ref="G3:K3" si="5">G4+G13+G17+G24+G34+G39</f>
        <v>12665900</v>
      </c>
      <c r="H3" s="11">
        <f t="shared" si="5"/>
        <v>12824200</v>
      </c>
      <c r="I3" s="11">
        <f t="shared" si="5"/>
        <v>12824650</v>
      </c>
      <c r="J3" s="11">
        <f t="shared" si="5"/>
        <v>12822050</v>
      </c>
      <c r="K3" s="11">
        <f t="shared" si="5"/>
        <v>12825764.390000001</v>
      </c>
      <c r="L3" s="11">
        <f>L4+L13+L17+L24+L34+L39</f>
        <v>11142100.140000001</v>
      </c>
      <c r="M3" s="12">
        <f t="shared" si="1"/>
        <v>-2600</v>
      </c>
      <c r="N3" s="12">
        <f t="shared" si="2"/>
        <v>156150</v>
      </c>
      <c r="O3" s="13">
        <f t="shared" si="3"/>
        <v>3714.390000000596</v>
      </c>
      <c r="P3" s="13">
        <f t="shared" si="4"/>
        <v>159864.3900000006</v>
      </c>
      <c r="Q3" s="14"/>
      <c r="R3" s="14"/>
      <c r="S3" s="15"/>
      <c r="T3" s="16" t="e">
        <f>#REF!-#REF!</f>
        <v>#REF!</v>
      </c>
      <c r="W3" s="18"/>
      <c r="X3" s="18"/>
      <c r="AA3" s="19"/>
    </row>
    <row r="4" spans="1:27" s="17" customFormat="1" ht="18" customHeight="1" x14ac:dyDescent="0.2">
      <c r="A4" s="23" t="s">
        <v>16</v>
      </c>
      <c r="B4" s="24"/>
      <c r="C4" s="25"/>
      <c r="D4" s="25" t="s">
        <v>19</v>
      </c>
      <c r="E4" s="26"/>
      <c r="F4" s="27"/>
      <c r="G4" s="28">
        <f t="shared" ref="G4:K4" si="6">G5+G8</f>
        <v>12141100</v>
      </c>
      <c r="H4" s="28">
        <f t="shared" si="6"/>
        <v>12249400</v>
      </c>
      <c r="I4" s="28">
        <f t="shared" si="6"/>
        <v>12246400</v>
      </c>
      <c r="J4" s="28">
        <f t="shared" si="6"/>
        <v>12246900</v>
      </c>
      <c r="K4" s="28">
        <f t="shared" si="6"/>
        <v>12247992.83</v>
      </c>
      <c r="L4" s="28">
        <f>L5+L8</f>
        <v>10745549.25</v>
      </c>
      <c r="M4" s="12">
        <f t="shared" si="1"/>
        <v>500</v>
      </c>
      <c r="N4" s="12">
        <f t="shared" si="2"/>
        <v>105800</v>
      </c>
      <c r="O4" s="13">
        <f t="shared" si="3"/>
        <v>1092.8300000000745</v>
      </c>
      <c r="P4" s="13">
        <f t="shared" si="4"/>
        <v>106892.83000000007</v>
      </c>
      <c r="Q4" s="14"/>
      <c r="R4" s="14"/>
      <c r="S4" s="15"/>
      <c r="T4" s="16" t="e">
        <f>#REF!-#REF!</f>
        <v>#REF!</v>
      </c>
      <c r="W4" s="18"/>
      <c r="X4" s="18"/>
      <c r="AA4" s="19"/>
    </row>
    <row r="5" spans="1:27" s="33" customFormat="1" ht="18" customHeight="1" x14ac:dyDescent="0.2">
      <c r="A5" s="29" t="s">
        <v>16</v>
      </c>
      <c r="B5" s="30"/>
      <c r="C5" s="31"/>
      <c r="D5" s="26"/>
      <c r="E5" s="31" t="s">
        <v>20</v>
      </c>
      <c r="F5" s="32"/>
      <c r="G5" s="15">
        <f t="shared" ref="G5:K5" si="7">SUM(G6:G7)</f>
        <v>7530700</v>
      </c>
      <c r="H5" s="15">
        <f t="shared" si="7"/>
        <v>7555100</v>
      </c>
      <c r="I5" s="15">
        <f t="shared" si="7"/>
        <v>7555800</v>
      </c>
      <c r="J5" s="15">
        <f t="shared" si="7"/>
        <v>7555200</v>
      </c>
      <c r="K5" s="15">
        <f t="shared" si="7"/>
        <v>7555455.6200000001</v>
      </c>
      <c r="L5" s="15">
        <f>SUM(L6:L7)</f>
        <v>6155062.5099999998</v>
      </c>
      <c r="M5" s="12">
        <f t="shared" si="1"/>
        <v>-600</v>
      </c>
      <c r="N5" s="12">
        <f t="shared" si="2"/>
        <v>24500</v>
      </c>
      <c r="O5" s="13">
        <f t="shared" si="3"/>
        <v>255.62000000011176</v>
      </c>
      <c r="P5" s="13">
        <f t="shared" si="4"/>
        <v>24755.620000000112</v>
      </c>
      <c r="Q5" s="14"/>
      <c r="R5" s="14"/>
      <c r="S5" s="15"/>
      <c r="T5" s="16" t="e">
        <f>#REF!-#REF!</f>
        <v>#REF!</v>
      </c>
      <c r="W5" s="34"/>
      <c r="X5" s="34"/>
      <c r="AA5" s="19"/>
    </row>
    <row r="6" spans="1:27" s="43" customFormat="1" ht="18" customHeight="1" x14ac:dyDescent="0.2">
      <c r="A6" s="35" t="s">
        <v>16</v>
      </c>
      <c r="B6" s="36"/>
      <c r="C6" s="37"/>
      <c r="D6" s="25"/>
      <c r="E6" s="31"/>
      <c r="F6" s="38" t="s">
        <v>21</v>
      </c>
      <c r="G6" s="39">
        <v>7478500</v>
      </c>
      <c r="H6" s="39">
        <f>FLOOR(4357906.32/212*365,100)</f>
        <v>7502900</v>
      </c>
      <c r="I6" s="39">
        <f>FLOOR(6249645.05/304*365,100)</f>
        <v>7503600</v>
      </c>
      <c r="J6" s="39">
        <f>FLOOR(6865770.47/334*365,100)</f>
        <v>7503000</v>
      </c>
      <c r="K6" s="39">
        <v>7503162.0700000003</v>
      </c>
      <c r="L6" s="39">
        <v>6111380.4100000001</v>
      </c>
      <c r="M6" s="12">
        <f t="shared" si="1"/>
        <v>-600</v>
      </c>
      <c r="N6" s="12">
        <f t="shared" si="2"/>
        <v>24500</v>
      </c>
      <c r="O6" s="13">
        <f t="shared" si="3"/>
        <v>162.07000000029802</v>
      </c>
      <c r="P6" s="13">
        <f t="shared" si="4"/>
        <v>24662.070000000298</v>
      </c>
      <c r="Q6" s="40" t="s">
        <v>22</v>
      </c>
      <c r="R6" s="41" t="s">
        <v>23</v>
      </c>
      <c r="S6" s="15" t="s">
        <v>24</v>
      </c>
      <c r="T6" s="16" t="e">
        <f>#REF!-#REF!</f>
        <v>#REF!</v>
      </c>
      <c r="U6" s="42" t="s">
        <v>25</v>
      </c>
      <c r="W6" s="44"/>
      <c r="X6" s="44"/>
      <c r="AA6" s="19"/>
    </row>
    <row r="7" spans="1:27" s="43" customFormat="1" ht="18" customHeight="1" x14ac:dyDescent="0.2">
      <c r="A7" s="35" t="s">
        <v>16</v>
      </c>
      <c r="B7" s="36"/>
      <c r="C7" s="37"/>
      <c r="D7" s="25"/>
      <c r="E7" s="31"/>
      <c r="F7" s="38" t="s">
        <v>26</v>
      </c>
      <c r="G7" s="39">
        <v>52200</v>
      </c>
      <c r="H7" s="39">
        <f>FLOOR(30373.24/212*365,100)</f>
        <v>52200</v>
      </c>
      <c r="I7" s="39">
        <f>FLOOR(43554.08/304*365,100)</f>
        <v>52200</v>
      </c>
      <c r="J7" s="39">
        <f>FLOOR(47852.18/334*365,100)</f>
        <v>52200</v>
      </c>
      <c r="K7" s="39">
        <v>52293.55</v>
      </c>
      <c r="L7" s="39">
        <v>43682.1</v>
      </c>
      <c r="M7" s="12">
        <f t="shared" si="1"/>
        <v>0</v>
      </c>
      <c r="N7" s="12">
        <f t="shared" si="2"/>
        <v>0</v>
      </c>
      <c r="O7" s="13">
        <f t="shared" si="3"/>
        <v>93.55000000000291</v>
      </c>
      <c r="P7" s="13">
        <f t="shared" si="4"/>
        <v>93.55000000000291</v>
      </c>
      <c r="Q7" s="14"/>
      <c r="R7" s="45" t="s">
        <v>27</v>
      </c>
      <c r="S7" s="15" t="s">
        <v>28</v>
      </c>
      <c r="T7" s="16" t="e">
        <f>#REF!-#REF!</f>
        <v>#REF!</v>
      </c>
      <c r="W7" s="44"/>
      <c r="X7" s="44"/>
      <c r="AA7" s="19"/>
    </row>
    <row r="8" spans="1:27" s="33" customFormat="1" ht="18" customHeight="1" x14ac:dyDescent="0.2">
      <c r="A8" s="29" t="s">
        <v>16</v>
      </c>
      <c r="B8" s="30"/>
      <c r="C8" s="31"/>
      <c r="D8" s="26"/>
      <c r="E8" s="31" t="s">
        <v>29</v>
      </c>
      <c r="F8" s="32"/>
      <c r="G8" s="15">
        <f t="shared" ref="G8:K8" si="8">SUM(G9:G12)</f>
        <v>4610400</v>
      </c>
      <c r="H8" s="15">
        <f t="shared" si="8"/>
        <v>4694300</v>
      </c>
      <c r="I8" s="15">
        <f t="shared" si="8"/>
        <v>4690600</v>
      </c>
      <c r="J8" s="15">
        <f t="shared" si="8"/>
        <v>4691700</v>
      </c>
      <c r="K8" s="15">
        <f t="shared" si="8"/>
        <v>4692537.21</v>
      </c>
      <c r="L8" s="15">
        <f>SUM(L9:L12)</f>
        <v>4590486.74</v>
      </c>
      <c r="M8" s="12">
        <f t="shared" si="1"/>
        <v>1100</v>
      </c>
      <c r="N8" s="12">
        <f t="shared" si="2"/>
        <v>81300</v>
      </c>
      <c r="O8" s="13">
        <f t="shared" si="3"/>
        <v>837.20999999996275</v>
      </c>
      <c r="P8" s="13">
        <f t="shared" si="4"/>
        <v>82137.209999999963</v>
      </c>
      <c r="Q8" s="14"/>
      <c r="R8" s="14"/>
      <c r="S8" s="15"/>
      <c r="T8" s="16" t="e">
        <f>#REF!-#REF!</f>
        <v>#REF!</v>
      </c>
      <c r="W8" s="34"/>
      <c r="X8" s="34"/>
      <c r="AA8" s="19"/>
    </row>
    <row r="9" spans="1:27" s="43" customFormat="1" ht="18" customHeight="1" x14ac:dyDescent="0.2">
      <c r="A9" s="35" t="s">
        <v>16</v>
      </c>
      <c r="B9" s="36"/>
      <c r="C9" s="37"/>
      <c r="D9" s="25"/>
      <c r="E9" s="31"/>
      <c r="F9" s="38" t="s">
        <v>30</v>
      </c>
      <c r="G9" s="39">
        <v>3851700</v>
      </c>
      <c r="H9" s="39">
        <f>FLOOR(2234792.44/212*365,100)</f>
        <v>3847600</v>
      </c>
      <c r="I9" s="39">
        <f>FLOOR(3204633.91/304*365,100)</f>
        <v>3847600</v>
      </c>
      <c r="J9" s="39">
        <f>FLOOR(3520229.95/334*365,100)</f>
        <v>3846900</v>
      </c>
      <c r="K9" s="39">
        <v>3847357</v>
      </c>
      <c r="L9" s="39">
        <v>3789237.62</v>
      </c>
      <c r="M9" s="12">
        <f t="shared" si="1"/>
        <v>-700</v>
      </c>
      <c r="N9" s="12">
        <f t="shared" si="2"/>
        <v>-4800</v>
      </c>
      <c r="O9" s="13">
        <f t="shared" si="3"/>
        <v>457</v>
      </c>
      <c r="P9" s="13">
        <f t="shared" si="4"/>
        <v>-4343</v>
      </c>
      <c r="Q9" s="45" t="s">
        <v>31</v>
      </c>
      <c r="R9" s="45" t="s">
        <v>32</v>
      </c>
      <c r="S9" s="15" t="s">
        <v>33</v>
      </c>
      <c r="T9" s="16" t="e">
        <f>#REF!-#REF!</f>
        <v>#REF!</v>
      </c>
      <c r="W9" s="44"/>
      <c r="X9" s="44"/>
      <c r="AA9" s="19"/>
    </row>
    <row r="10" spans="1:27" s="43" customFormat="1" ht="18" customHeight="1" x14ac:dyDescent="0.2">
      <c r="A10" s="35" t="s">
        <v>16</v>
      </c>
      <c r="B10" s="36"/>
      <c r="C10" s="37"/>
      <c r="D10" s="25"/>
      <c r="E10" s="31"/>
      <c r="F10" s="38" t="s">
        <v>34</v>
      </c>
      <c r="G10" s="39">
        <v>18600</v>
      </c>
      <c r="H10" s="39">
        <f>FLOOR(12388/212*365,100)</f>
        <v>21300</v>
      </c>
      <c r="I10" s="39">
        <f>FLOOR(17764/304*365,100)</f>
        <v>21300</v>
      </c>
      <c r="J10" s="39">
        <f>FLOOR(19517/334*365,100)</f>
        <v>21300</v>
      </c>
      <c r="K10" s="39">
        <v>21328.5</v>
      </c>
      <c r="L10" s="39">
        <v>21043.3</v>
      </c>
      <c r="M10" s="12">
        <f t="shared" si="1"/>
        <v>0</v>
      </c>
      <c r="N10" s="12">
        <f t="shared" si="2"/>
        <v>2700</v>
      </c>
      <c r="O10" s="13">
        <f t="shared" si="3"/>
        <v>28.5</v>
      </c>
      <c r="P10" s="13">
        <f t="shared" si="4"/>
        <v>2728.5</v>
      </c>
      <c r="Q10" s="45" t="s">
        <v>35</v>
      </c>
      <c r="R10" s="45" t="s">
        <v>35</v>
      </c>
      <c r="S10" s="15" t="s">
        <v>35</v>
      </c>
      <c r="T10" s="16" t="e">
        <f>#REF!-#REF!</f>
        <v>#REF!</v>
      </c>
      <c r="W10" s="44"/>
      <c r="X10" s="44"/>
      <c r="AA10" s="19"/>
    </row>
    <row r="11" spans="1:27" s="43" customFormat="1" ht="18" customHeight="1" x14ac:dyDescent="0.2">
      <c r="A11" s="35"/>
      <c r="B11" s="36"/>
      <c r="C11" s="37"/>
      <c r="D11" s="25"/>
      <c r="E11" s="31"/>
      <c r="F11" s="38" t="s">
        <v>36</v>
      </c>
      <c r="G11" s="39">
        <v>737400</v>
      </c>
      <c r="H11" s="39">
        <f>FLOOR(476601.75/212*365,100)</f>
        <v>820500</v>
      </c>
      <c r="I11" s="39">
        <f>FLOOR(680146.44/304*365,100)</f>
        <v>816600</v>
      </c>
      <c r="J11" s="39">
        <f>FLOOR(748966.17/334*365,100)</f>
        <v>818400</v>
      </c>
      <c r="K11" s="39">
        <v>818926.41</v>
      </c>
      <c r="L11" s="39">
        <v>777358.37</v>
      </c>
      <c r="M11" s="12">
        <f t="shared" si="1"/>
        <v>1800</v>
      </c>
      <c r="N11" s="12">
        <f t="shared" si="2"/>
        <v>81000</v>
      </c>
      <c r="O11" s="13">
        <f t="shared" si="3"/>
        <v>526.4100000000326</v>
      </c>
      <c r="P11" s="13">
        <f t="shared" si="4"/>
        <v>81526.410000000033</v>
      </c>
      <c r="Q11" s="45" t="s">
        <v>37</v>
      </c>
      <c r="R11" s="45" t="s">
        <v>38</v>
      </c>
      <c r="S11" s="15" t="s">
        <v>39</v>
      </c>
      <c r="T11" s="16" t="e">
        <f>#REF!-#REF!</f>
        <v>#REF!</v>
      </c>
      <c r="V11" s="43">
        <f>0.76*131*366</f>
        <v>36438.959999999999</v>
      </c>
      <c r="W11" s="44"/>
      <c r="X11" s="44"/>
      <c r="AA11" s="19"/>
    </row>
    <row r="12" spans="1:27" s="43" customFormat="1" ht="18" customHeight="1" x14ac:dyDescent="0.2">
      <c r="A12" s="35" t="s">
        <v>16</v>
      </c>
      <c r="B12" s="36"/>
      <c r="C12" s="37"/>
      <c r="D12" s="25"/>
      <c r="E12" s="31"/>
      <c r="F12" s="38" t="s">
        <v>40</v>
      </c>
      <c r="G12" s="39">
        <v>2700</v>
      </c>
      <c r="H12" s="39">
        <f>FLOOR(2904.71/7*12,100)</f>
        <v>4900</v>
      </c>
      <c r="I12" s="39">
        <f>FLOOR(4300.66/10*12,100)</f>
        <v>5100</v>
      </c>
      <c r="J12" s="39">
        <f>FLOOR(4706.43/11*12,100)</f>
        <v>5100</v>
      </c>
      <c r="K12" s="39">
        <v>4925.3</v>
      </c>
      <c r="L12" s="39">
        <v>2847.45</v>
      </c>
      <c r="M12" s="12">
        <f t="shared" si="1"/>
        <v>0</v>
      </c>
      <c r="N12" s="12">
        <f t="shared" si="2"/>
        <v>2400</v>
      </c>
      <c r="O12" s="13">
        <f t="shared" si="3"/>
        <v>-174.69999999999982</v>
      </c>
      <c r="P12" s="13">
        <f t="shared" si="4"/>
        <v>2225.3000000000002</v>
      </c>
      <c r="Q12" s="46"/>
      <c r="R12" s="47" t="s">
        <v>41</v>
      </c>
      <c r="S12" s="15"/>
      <c r="T12" s="16" t="e">
        <f>#REF!-#REF!</f>
        <v>#REF!</v>
      </c>
      <c r="W12" s="44">
        <v>946434.3</v>
      </c>
      <c r="X12" s="44">
        <v>942899.9</v>
      </c>
      <c r="Y12" s="44">
        <f>X12-W12</f>
        <v>-3534.4000000000233</v>
      </c>
      <c r="AA12" s="19"/>
    </row>
    <row r="13" spans="1:27" s="17" customFormat="1" ht="18" customHeight="1" x14ac:dyDescent="0.2">
      <c r="A13" s="20" t="s">
        <v>16</v>
      </c>
      <c r="B13" s="48"/>
      <c r="C13" s="49"/>
      <c r="D13" s="25" t="s">
        <v>42</v>
      </c>
      <c r="E13" s="26"/>
      <c r="F13" s="27"/>
      <c r="G13" s="28">
        <f t="shared" ref="G13:N13" si="9">G14</f>
        <v>55800</v>
      </c>
      <c r="H13" s="28">
        <f t="shared" si="9"/>
        <v>75800</v>
      </c>
      <c r="I13" s="28">
        <f t="shared" si="9"/>
        <v>76200</v>
      </c>
      <c r="J13" s="28">
        <f t="shared" si="9"/>
        <v>76300</v>
      </c>
      <c r="K13" s="28">
        <f t="shared" si="9"/>
        <v>76399.5</v>
      </c>
      <c r="L13" s="28">
        <f>L14</f>
        <v>73123.05</v>
      </c>
      <c r="M13" s="28">
        <f t="shared" si="9"/>
        <v>100</v>
      </c>
      <c r="N13" s="28">
        <f t="shared" si="9"/>
        <v>20500</v>
      </c>
      <c r="O13" s="13">
        <f t="shared" si="3"/>
        <v>99.5</v>
      </c>
      <c r="P13" s="13">
        <f t="shared" si="4"/>
        <v>20599.5</v>
      </c>
      <c r="Q13" s="14"/>
      <c r="R13" s="14"/>
      <c r="S13" s="15"/>
      <c r="T13" s="16" t="e">
        <f>#REF!-#REF!</f>
        <v>#REF!</v>
      </c>
      <c r="W13" s="18">
        <v>5231.05</v>
      </c>
      <c r="X13" s="18">
        <v>5913.55</v>
      </c>
      <c r="Y13" s="18">
        <f>X13-W13</f>
        <v>682.5</v>
      </c>
      <c r="AA13" s="19"/>
    </row>
    <row r="14" spans="1:27" s="33" customFormat="1" ht="18" customHeight="1" x14ac:dyDescent="0.2">
      <c r="A14" s="50" t="s">
        <v>16</v>
      </c>
      <c r="B14" s="51"/>
      <c r="C14" s="52"/>
      <c r="D14" s="26"/>
      <c r="E14" s="31" t="s">
        <v>42</v>
      </c>
      <c r="F14" s="32"/>
      <c r="G14" s="15">
        <f t="shared" ref="G14:N14" si="10">G15+G16</f>
        <v>55800</v>
      </c>
      <c r="H14" s="15">
        <f t="shared" si="10"/>
        <v>75800</v>
      </c>
      <c r="I14" s="15">
        <f t="shared" si="10"/>
        <v>76200</v>
      </c>
      <c r="J14" s="15">
        <f t="shared" si="10"/>
        <v>76300</v>
      </c>
      <c r="K14" s="15">
        <f t="shared" si="10"/>
        <v>76399.5</v>
      </c>
      <c r="L14" s="15">
        <f>L15+L16</f>
        <v>73123.05</v>
      </c>
      <c r="M14" s="15">
        <f t="shared" si="10"/>
        <v>100</v>
      </c>
      <c r="N14" s="15">
        <f t="shared" si="10"/>
        <v>20500</v>
      </c>
      <c r="O14" s="13">
        <f t="shared" si="3"/>
        <v>99.5</v>
      </c>
      <c r="P14" s="13">
        <f t="shared" si="4"/>
        <v>20599.5</v>
      </c>
      <c r="Q14" s="14"/>
      <c r="R14" s="14"/>
      <c r="S14" s="15"/>
      <c r="T14" s="16" t="e">
        <f>#REF!-#REF!</f>
        <v>#REF!</v>
      </c>
      <c r="W14" s="34">
        <f>SUM(W12:W13)</f>
        <v>951665.35000000009</v>
      </c>
      <c r="X14" s="34">
        <f>SUM(X12:X13)</f>
        <v>948813.45000000007</v>
      </c>
      <c r="AA14" s="19"/>
    </row>
    <row r="15" spans="1:27" s="43" customFormat="1" ht="18" customHeight="1" x14ac:dyDescent="0.2">
      <c r="A15" s="53" t="s">
        <v>16</v>
      </c>
      <c r="B15" s="54"/>
      <c r="C15" s="55"/>
      <c r="D15" s="25"/>
      <c r="E15" s="31"/>
      <c r="F15" s="38" t="s">
        <v>43</v>
      </c>
      <c r="G15" s="39">
        <v>55800</v>
      </c>
      <c r="H15" s="39">
        <f>FLOOR(44040/212*365,100)</f>
        <v>75800</v>
      </c>
      <c r="I15" s="39">
        <f>FLOOR(63498/304*365,100)</f>
        <v>76200</v>
      </c>
      <c r="J15" s="39">
        <f>FLOOR(69843/334*365,100)</f>
        <v>76300</v>
      </c>
      <c r="K15" s="39">
        <v>76399.5</v>
      </c>
      <c r="L15" s="39">
        <v>73123.05</v>
      </c>
      <c r="M15" s="12">
        <f t="shared" ref="M15:M78" si="11">J15-I15</f>
        <v>100</v>
      </c>
      <c r="N15" s="12">
        <f t="shared" ref="N15:N78" si="12">J15-G15</f>
        <v>20500</v>
      </c>
      <c r="O15" s="13">
        <f t="shared" si="3"/>
        <v>99.5</v>
      </c>
      <c r="P15" s="13">
        <f t="shared" si="4"/>
        <v>20599.5</v>
      </c>
      <c r="Q15" s="45" t="s">
        <v>44</v>
      </c>
      <c r="R15" s="45" t="s">
        <v>45</v>
      </c>
      <c r="S15" s="15" t="s">
        <v>46</v>
      </c>
      <c r="T15" s="16" t="e">
        <f>#REF!-#REF!</f>
        <v>#REF!</v>
      </c>
      <c r="W15" s="44"/>
      <c r="X15" s="44"/>
      <c r="AA15" s="19"/>
    </row>
    <row r="16" spans="1:27" s="43" customFormat="1" ht="18" hidden="1" customHeight="1" x14ac:dyDescent="0.2">
      <c r="A16" s="53" t="s">
        <v>16</v>
      </c>
      <c r="B16" s="54"/>
      <c r="C16" s="55"/>
      <c r="D16" s="25"/>
      <c r="E16" s="31"/>
      <c r="F16" s="38" t="s">
        <v>47</v>
      </c>
      <c r="G16" s="39"/>
      <c r="H16" s="39"/>
      <c r="I16" s="39"/>
      <c r="J16" s="39"/>
      <c r="K16" s="39"/>
      <c r="L16" s="39"/>
      <c r="M16" s="12">
        <f t="shared" si="11"/>
        <v>0</v>
      </c>
      <c r="N16" s="12">
        <f t="shared" si="12"/>
        <v>0</v>
      </c>
      <c r="O16" s="13">
        <f t="shared" si="3"/>
        <v>0</v>
      </c>
      <c r="P16" s="13">
        <f t="shared" si="4"/>
        <v>0</v>
      </c>
      <c r="Q16" s="14"/>
      <c r="R16" s="14"/>
      <c r="S16" s="15"/>
      <c r="T16" s="16" t="e">
        <f>#REF!-#REF!</f>
        <v>#REF!</v>
      </c>
      <c r="W16" s="44"/>
      <c r="X16" s="44"/>
      <c r="AA16" s="19"/>
    </row>
    <row r="17" spans="1:28" s="17" customFormat="1" ht="18" customHeight="1" x14ac:dyDescent="0.2">
      <c r="A17" s="20" t="s">
        <v>16</v>
      </c>
      <c r="B17" s="48"/>
      <c r="C17" s="49"/>
      <c r="D17" s="25" t="s">
        <v>48</v>
      </c>
      <c r="E17" s="26"/>
      <c r="F17" s="27"/>
      <c r="G17" s="28">
        <f t="shared" ref="G17:K17" si="13">G18</f>
        <v>413000</v>
      </c>
      <c r="H17" s="28">
        <f t="shared" si="13"/>
        <v>429400</v>
      </c>
      <c r="I17" s="28">
        <f t="shared" si="13"/>
        <v>430650</v>
      </c>
      <c r="J17" s="28">
        <f t="shared" si="13"/>
        <v>430550</v>
      </c>
      <c r="K17" s="28">
        <f t="shared" si="13"/>
        <v>429986.23</v>
      </c>
      <c r="L17" s="28">
        <f>L18</f>
        <v>264144.75</v>
      </c>
      <c r="M17" s="12">
        <f t="shared" si="11"/>
        <v>-100</v>
      </c>
      <c r="N17" s="12">
        <f t="shared" si="12"/>
        <v>17550</v>
      </c>
      <c r="O17" s="13">
        <f t="shared" si="3"/>
        <v>-563.77000000001863</v>
      </c>
      <c r="P17" s="13">
        <f t="shared" si="4"/>
        <v>16986.229999999981</v>
      </c>
      <c r="Q17" s="14"/>
      <c r="R17" s="14"/>
      <c r="S17" s="15"/>
      <c r="T17" s="16" t="e">
        <f>#REF!-#REF!</f>
        <v>#REF!</v>
      </c>
      <c r="W17" s="18"/>
      <c r="X17" s="18"/>
      <c r="AA17" s="19"/>
    </row>
    <row r="18" spans="1:28" s="33" customFormat="1" ht="18" customHeight="1" x14ac:dyDescent="0.2">
      <c r="A18" s="50" t="s">
        <v>16</v>
      </c>
      <c r="B18" s="51"/>
      <c r="C18" s="52"/>
      <c r="D18" s="26"/>
      <c r="E18" s="31" t="s">
        <v>48</v>
      </c>
      <c r="F18" s="32"/>
      <c r="G18" s="15">
        <f t="shared" ref="G18:K18" si="14">SUM(G19:G23)</f>
        <v>413000</v>
      </c>
      <c r="H18" s="15">
        <f t="shared" si="14"/>
        <v>429400</v>
      </c>
      <c r="I18" s="15">
        <f t="shared" si="14"/>
        <v>430650</v>
      </c>
      <c r="J18" s="15">
        <f t="shared" si="14"/>
        <v>430550</v>
      </c>
      <c r="K18" s="15">
        <f t="shared" si="14"/>
        <v>429986.23</v>
      </c>
      <c r="L18" s="15">
        <f>SUM(L19:L23)</f>
        <v>264144.75</v>
      </c>
      <c r="M18" s="12">
        <f t="shared" si="11"/>
        <v>-100</v>
      </c>
      <c r="N18" s="12">
        <f t="shared" si="12"/>
        <v>17550</v>
      </c>
      <c r="O18" s="13">
        <f t="shared" si="3"/>
        <v>-563.77000000001863</v>
      </c>
      <c r="P18" s="13">
        <f t="shared" si="4"/>
        <v>16986.229999999981</v>
      </c>
      <c r="Q18" s="14"/>
      <c r="R18" s="14"/>
      <c r="S18" s="15"/>
      <c r="T18" s="16" t="e">
        <f>#REF!-#REF!</f>
        <v>#REF!</v>
      </c>
      <c r="W18" s="34"/>
      <c r="X18" s="34"/>
      <c r="AA18" s="19"/>
    </row>
    <row r="19" spans="1:28" s="43" customFormat="1" ht="18" customHeight="1" x14ac:dyDescent="0.2">
      <c r="A19" s="53" t="s">
        <v>16</v>
      </c>
      <c r="B19" s="54"/>
      <c r="C19" s="55"/>
      <c r="D19" s="25"/>
      <c r="E19" s="31"/>
      <c r="F19" s="38" t="s">
        <v>49</v>
      </c>
      <c r="G19" s="39">
        <v>0</v>
      </c>
      <c r="H19" s="39">
        <v>0</v>
      </c>
      <c r="I19" s="39">
        <f>H19</f>
        <v>0</v>
      </c>
      <c r="J19" s="39">
        <v>0</v>
      </c>
      <c r="K19" s="39">
        <v>0</v>
      </c>
      <c r="L19" s="39">
        <v>11786.21</v>
      </c>
      <c r="M19" s="12">
        <f t="shared" si="11"/>
        <v>0</v>
      </c>
      <c r="N19" s="12">
        <f t="shared" si="12"/>
        <v>0</v>
      </c>
      <c r="O19" s="13">
        <f t="shared" si="3"/>
        <v>0</v>
      </c>
      <c r="P19" s="13">
        <f t="shared" si="4"/>
        <v>0</v>
      </c>
      <c r="Q19" s="46"/>
      <c r="R19" s="47" t="s">
        <v>41</v>
      </c>
      <c r="S19" s="56" t="s">
        <v>50</v>
      </c>
      <c r="T19" s="16" t="e">
        <f>#REF!-#REF!</f>
        <v>#REF!</v>
      </c>
      <c r="W19" s="44"/>
      <c r="X19" s="44"/>
      <c r="AA19" s="19"/>
    </row>
    <row r="20" spans="1:28" s="43" customFormat="1" ht="18" customHeight="1" x14ac:dyDescent="0.2">
      <c r="A20" s="53" t="s">
        <v>16</v>
      </c>
      <c r="B20" s="54"/>
      <c r="C20" s="55"/>
      <c r="D20" s="25"/>
      <c r="E20" s="31"/>
      <c r="F20" s="38" t="s">
        <v>51</v>
      </c>
      <c r="G20" s="39">
        <v>62900</v>
      </c>
      <c r="H20" s="39">
        <v>62900</v>
      </c>
      <c r="I20" s="39">
        <f>H20</f>
        <v>62900</v>
      </c>
      <c r="J20" s="39">
        <f>G20</f>
        <v>62900</v>
      </c>
      <c r="K20" s="39">
        <v>62920</v>
      </c>
      <c r="L20" s="39">
        <v>24024</v>
      </c>
      <c r="M20" s="12">
        <f t="shared" si="11"/>
        <v>0</v>
      </c>
      <c r="N20" s="12">
        <f t="shared" si="12"/>
        <v>0</v>
      </c>
      <c r="O20" s="13">
        <f t="shared" si="3"/>
        <v>20</v>
      </c>
      <c r="P20" s="13">
        <f t="shared" si="4"/>
        <v>20</v>
      </c>
      <c r="Q20" s="46"/>
      <c r="R20" s="46"/>
      <c r="S20" s="56"/>
      <c r="T20" s="16" t="e">
        <f>#REF!-#REF!</f>
        <v>#REF!</v>
      </c>
      <c r="W20" s="44"/>
      <c r="X20" s="44"/>
      <c r="AA20" s="19"/>
    </row>
    <row r="21" spans="1:28" s="43" customFormat="1" ht="18" customHeight="1" x14ac:dyDescent="0.2">
      <c r="A21" s="53" t="s">
        <v>16</v>
      </c>
      <c r="B21" s="54"/>
      <c r="C21" s="55"/>
      <c r="D21" s="25"/>
      <c r="E21" s="31"/>
      <c r="F21" s="38" t="s">
        <v>52</v>
      </c>
      <c r="G21" s="39">
        <v>100</v>
      </c>
      <c r="H21" s="39">
        <f>FLOOR(105/7*12,100)</f>
        <v>100</v>
      </c>
      <c r="I21" s="39">
        <v>150</v>
      </c>
      <c r="J21" s="39">
        <f>FLOOR(147/11*12,50)</f>
        <v>150</v>
      </c>
      <c r="K21" s="39">
        <v>147</v>
      </c>
      <c r="L21" s="39">
        <v>81</v>
      </c>
      <c r="M21" s="12">
        <f t="shared" si="11"/>
        <v>0</v>
      </c>
      <c r="N21" s="12">
        <f t="shared" si="12"/>
        <v>50</v>
      </c>
      <c r="O21" s="13">
        <f t="shared" si="3"/>
        <v>-3</v>
      </c>
      <c r="P21" s="13">
        <f t="shared" si="4"/>
        <v>47</v>
      </c>
      <c r="Q21" s="47" t="s">
        <v>53</v>
      </c>
      <c r="R21" s="47" t="s">
        <v>41</v>
      </c>
      <c r="S21" s="15"/>
      <c r="T21" s="16" t="e">
        <f>#REF!-#REF!</f>
        <v>#REF!</v>
      </c>
      <c r="W21" s="44"/>
      <c r="X21" s="44"/>
      <c r="AA21" s="19"/>
    </row>
    <row r="22" spans="1:28" s="43" customFormat="1" ht="18" customHeight="1" x14ac:dyDescent="0.2">
      <c r="A22" s="53" t="s">
        <v>16</v>
      </c>
      <c r="B22" s="54"/>
      <c r="C22" s="55"/>
      <c r="D22" s="25"/>
      <c r="E22" s="31"/>
      <c r="F22" s="38" t="s">
        <v>54</v>
      </c>
      <c r="G22" s="39">
        <v>350000</v>
      </c>
      <c r="H22" s="39">
        <f>FLOOR(213151.22/7*12,100)</f>
        <v>365400</v>
      </c>
      <c r="I22" s="39">
        <f>FLOOR(305612.79/10*12,100)</f>
        <v>366700</v>
      </c>
      <c r="J22" s="39">
        <f>FLOOR(336066.85/11*12,100)</f>
        <v>366600</v>
      </c>
      <c r="K22" s="39">
        <v>366079.23</v>
      </c>
      <c r="L22" s="39">
        <v>185976.06</v>
      </c>
      <c r="M22" s="12">
        <f t="shared" si="11"/>
        <v>-100</v>
      </c>
      <c r="N22" s="12">
        <f t="shared" si="12"/>
        <v>16600</v>
      </c>
      <c r="O22" s="13">
        <f t="shared" si="3"/>
        <v>-520.77000000001863</v>
      </c>
      <c r="P22" s="13">
        <f t="shared" si="4"/>
        <v>16079.229999999981</v>
      </c>
      <c r="Q22" s="47" t="s">
        <v>55</v>
      </c>
      <c r="R22" s="47" t="s">
        <v>41</v>
      </c>
      <c r="S22" s="56" t="s">
        <v>50</v>
      </c>
      <c r="T22" s="16" t="e">
        <f>#REF!-#REF!</f>
        <v>#REF!</v>
      </c>
      <c r="W22" s="44"/>
      <c r="X22" s="44"/>
      <c r="AA22" s="19"/>
    </row>
    <row r="23" spans="1:28" s="43" customFormat="1" ht="18" customHeight="1" x14ac:dyDescent="0.2">
      <c r="A23" s="53"/>
      <c r="B23" s="54"/>
      <c r="C23" s="55"/>
      <c r="D23" s="25"/>
      <c r="E23" s="31"/>
      <c r="F23" s="38" t="s">
        <v>56</v>
      </c>
      <c r="G23" s="39">
        <v>0</v>
      </c>
      <c r="H23" s="39">
        <f>FLOOR(630/7*12,100)</f>
        <v>1000</v>
      </c>
      <c r="I23" s="39">
        <f>FLOOR(805/10*12,100)</f>
        <v>900</v>
      </c>
      <c r="J23" s="39">
        <f>FLOOR(840/11*12,100)</f>
        <v>900</v>
      </c>
      <c r="K23" s="39">
        <v>840</v>
      </c>
      <c r="L23" s="39">
        <v>42277.48</v>
      </c>
      <c r="M23" s="12">
        <f t="shared" si="11"/>
        <v>0</v>
      </c>
      <c r="N23" s="12">
        <f t="shared" si="12"/>
        <v>900</v>
      </c>
      <c r="O23" s="13">
        <f t="shared" si="3"/>
        <v>-60</v>
      </c>
      <c r="P23" s="13">
        <f t="shared" si="4"/>
        <v>840</v>
      </c>
      <c r="Q23" s="47" t="s">
        <v>57</v>
      </c>
      <c r="R23" s="47" t="s">
        <v>58</v>
      </c>
      <c r="S23" s="15" t="s">
        <v>59</v>
      </c>
      <c r="T23" s="16" t="e">
        <f>#REF!-#REF!</f>
        <v>#REF!</v>
      </c>
      <c r="W23" s="44"/>
      <c r="X23" s="44"/>
      <c r="AA23" s="19"/>
    </row>
    <row r="24" spans="1:28" s="17" customFormat="1" ht="18" customHeight="1" x14ac:dyDescent="0.2">
      <c r="A24" s="20" t="s">
        <v>16</v>
      </c>
      <c r="B24" s="48"/>
      <c r="C24" s="49"/>
      <c r="D24" s="25" t="s">
        <v>60</v>
      </c>
      <c r="E24" s="26"/>
      <c r="F24" s="27"/>
      <c r="G24" s="28">
        <f t="shared" ref="G24:K24" si="15">G25+G30</f>
        <v>32200</v>
      </c>
      <c r="H24" s="28">
        <f t="shared" si="15"/>
        <v>45400</v>
      </c>
      <c r="I24" s="28">
        <f t="shared" si="15"/>
        <v>46200</v>
      </c>
      <c r="J24" s="28">
        <f t="shared" si="15"/>
        <v>46000</v>
      </c>
      <c r="K24" s="28">
        <f t="shared" si="15"/>
        <v>45678.46</v>
      </c>
      <c r="L24" s="28">
        <f>L25+L30</f>
        <v>32656.59</v>
      </c>
      <c r="M24" s="12">
        <f t="shared" si="11"/>
        <v>-200</v>
      </c>
      <c r="N24" s="12">
        <f t="shared" si="12"/>
        <v>13800</v>
      </c>
      <c r="O24" s="13">
        <f t="shared" si="3"/>
        <v>-321.54000000000087</v>
      </c>
      <c r="P24" s="13">
        <f t="shared" si="4"/>
        <v>13478.46</v>
      </c>
      <c r="Q24" s="14"/>
      <c r="R24" s="14"/>
      <c r="S24" s="15"/>
      <c r="T24" s="16" t="e">
        <f>#REF!-#REF!</f>
        <v>#REF!</v>
      </c>
      <c r="W24" s="18"/>
      <c r="X24" s="18"/>
      <c r="AA24" s="19"/>
    </row>
    <row r="25" spans="1:28" s="33" customFormat="1" ht="18" customHeight="1" x14ac:dyDescent="0.2">
      <c r="A25" s="50" t="s">
        <v>16</v>
      </c>
      <c r="B25" s="51"/>
      <c r="C25" s="52"/>
      <c r="D25" s="26"/>
      <c r="E25" s="31" t="s">
        <v>61</v>
      </c>
      <c r="F25" s="32"/>
      <c r="G25" s="15">
        <f t="shared" ref="G25:K25" si="16">SUM(G26:G29)</f>
        <v>29500</v>
      </c>
      <c r="H25" s="15">
        <f t="shared" si="16"/>
        <v>31100</v>
      </c>
      <c r="I25" s="15">
        <f t="shared" si="16"/>
        <v>30800</v>
      </c>
      <c r="J25" s="15">
        <f t="shared" si="16"/>
        <v>30300</v>
      </c>
      <c r="K25" s="15">
        <f t="shared" si="16"/>
        <v>29619.73</v>
      </c>
      <c r="L25" s="15">
        <f>SUM(L26:L29)</f>
        <v>27795.34</v>
      </c>
      <c r="M25" s="12">
        <f t="shared" si="11"/>
        <v>-500</v>
      </c>
      <c r="N25" s="12">
        <f t="shared" si="12"/>
        <v>800</v>
      </c>
      <c r="O25" s="13">
        <f t="shared" si="3"/>
        <v>-680.27000000000044</v>
      </c>
      <c r="P25" s="13">
        <f t="shared" si="4"/>
        <v>119.72999999999956</v>
      </c>
      <c r="Q25" s="14"/>
      <c r="R25" s="14"/>
      <c r="S25" s="15"/>
      <c r="T25" s="16" t="e">
        <f>#REF!-#REF!</f>
        <v>#REF!</v>
      </c>
      <c r="W25" s="34"/>
      <c r="X25" s="34"/>
      <c r="AA25" s="19"/>
    </row>
    <row r="26" spans="1:28" s="43" customFormat="1" ht="18" customHeight="1" x14ac:dyDescent="0.2">
      <c r="A26" s="53" t="s">
        <v>16</v>
      </c>
      <c r="B26" s="54"/>
      <c r="C26" s="55"/>
      <c r="D26" s="25"/>
      <c r="E26" s="31"/>
      <c r="F26" s="38" t="s">
        <v>62</v>
      </c>
      <c r="G26" s="39">
        <v>14500</v>
      </c>
      <c r="H26" s="39">
        <f>FLOOR(6832.8/7*12,100)</f>
        <v>11700</v>
      </c>
      <c r="I26" s="39">
        <f>FLOOR(10380.24/10*12,100)</f>
        <v>12400</v>
      </c>
      <c r="J26" s="39">
        <f>FLOOR(11283.19/11*12,100)</f>
        <v>12300</v>
      </c>
      <c r="K26" s="39">
        <v>12340.87</v>
      </c>
      <c r="L26" s="39">
        <v>14219.82</v>
      </c>
      <c r="M26" s="12">
        <f t="shared" si="11"/>
        <v>-100</v>
      </c>
      <c r="N26" s="12">
        <f t="shared" si="12"/>
        <v>-2200</v>
      </c>
      <c r="O26" s="13">
        <f t="shared" si="3"/>
        <v>40.8700000000008</v>
      </c>
      <c r="P26" s="13">
        <f t="shared" si="4"/>
        <v>-2159.1299999999992</v>
      </c>
      <c r="Q26" s="47" t="s">
        <v>63</v>
      </c>
      <c r="R26" s="47" t="s">
        <v>41</v>
      </c>
      <c r="S26" s="15" t="s">
        <v>59</v>
      </c>
      <c r="T26" s="16" t="e">
        <f>#REF!-#REF!</f>
        <v>#REF!</v>
      </c>
      <c r="W26" s="44"/>
      <c r="X26" s="44"/>
      <c r="AA26" s="19"/>
      <c r="AB26" s="44"/>
    </row>
    <row r="27" spans="1:28" s="43" customFormat="1" ht="18" hidden="1" customHeight="1" x14ac:dyDescent="0.2">
      <c r="A27" s="53" t="s">
        <v>16</v>
      </c>
      <c r="B27" s="54"/>
      <c r="C27" s="55"/>
      <c r="D27" s="25"/>
      <c r="E27" s="31"/>
      <c r="F27" s="38" t="s">
        <v>64</v>
      </c>
      <c r="G27" s="39"/>
      <c r="H27" s="39"/>
      <c r="I27" s="39"/>
      <c r="J27" s="39"/>
      <c r="K27" s="39"/>
      <c r="L27" s="39"/>
      <c r="M27" s="12">
        <f t="shared" si="11"/>
        <v>0</v>
      </c>
      <c r="N27" s="12">
        <f t="shared" si="12"/>
        <v>0</v>
      </c>
      <c r="O27" s="13">
        <f t="shared" si="3"/>
        <v>0</v>
      </c>
      <c r="P27" s="13">
        <f t="shared" si="4"/>
        <v>0</v>
      </c>
      <c r="Q27" s="14"/>
      <c r="R27" s="14"/>
      <c r="S27" s="15"/>
      <c r="T27" s="16" t="e">
        <f>#REF!-#REF!</f>
        <v>#REF!</v>
      </c>
      <c r="W27" s="44"/>
      <c r="X27" s="44"/>
      <c r="AA27" s="19"/>
      <c r="AB27" s="44"/>
    </row>
    <row r="28" spans="1:28" s="43" customFormat="1" ht="18" customHeight="1" x14ac:dyDescent="0.2">
      <c r="A28" s="53" t="s">
        <v>16</v>
      </c>
      <c r="B28" s="54"/>
      <c r="C28" s="55"/>
      <c r="D28" s="25"/>
      <c r="E28" s="31"/>
      <c r="F28" s="38" t="s">
        <v>65</v>
      </c>
      <c r="G28" s="39">
        <v>10800</v>
      </c>
      <c r="H28" s="39">
        <f>FLOOR(8606.75/7*12,100)</f>
        <v>14700</v>
      </c>
      <c r="I28" s="39">
        <f>FLOOR(11841.85/10*12,100)</f>
        <v>14200</v>
      </c>
      <c r="J28" s="39">
        <f>FLOOR(12793.35/11*12,100)</f>
        <v>13900</v>
      </c>
      <c r="K28" s="39">
        <v>13338.3</v>
      </c>
      <c r="L28" s="39">
        <v>9545.5</v>
      </c>
      <c r="M28" s="12">
        <f t="shared" si="11"/>
        <v>-300</v>
      </c>
      <c r="N28" s="12">
        <f t="shared" si="12"/>
        <v>3100</v>
      </c>
      <c r="O28" s="13">
        <f t="shared" si="3"/>
        <v>-561.70000000000073</v>
      </c>
      <c r="P28" s="13">
        <f t="shared" si="4"/>
        <v>2538.2999999999993</v>
      </c>
      <c r="Q28" s="47" t="s">
        <v>66</v>
      </c>
      <c r="R28" s="47" t="s">
        <v>41</v>
      </c>
      <c r="S28" s="15" t="s">
        <v>59</v>
      </c>
      <c r="T28" s="16" t="e">
        <f>#REF!-#REF!</f>
        <v>#REF!</v>
      </c>
      <c r="W28" s="44"/>
      <c r="X28" s="44"/>
      <c r="AA28" s="19"/>
      <c r="AB28" s="44"/>
    </row>
    <row r="29" spans="1:28" s="43" customFormat="1" ht="18" customHeight="1" x14ac:dyDescent="0.2">
      <c r="A29" s="53"/>
      <c r="B29" s="54"/>
      <c r="C29" s="55"/>
      <c r="D29" s="25"/>
      <c r="E29" s="31"/>
      <c r="F29" s="38" t="s">
        <v>67</v>
      </c>
      <c r="G29" s="39">
        <v>4200</v>
      </c>
      <c r="H29" s="39">
        <f>FLOOR(2779.92/7*12,100)</f>
        <v>4700</v>
      </c>
      <c r="I29" s="39">
        <f>FLOOR(3538.08/10*12,100)</f>
        <v>4200</v>
      </c>
      <c r="J29" s="39">
        <f>FLOOR(3772.08/11*12,100)</f>
        <v>4100</v>
      </c>
      <c r="K29" s="39">
        <v>3940.56</v>
      </c>
      <c r="L29" s="39">
        <v>4030.02</v>
      </c>
      <c r="M29" s="12">
        <f t="shared" si="11"/>
        <v>-100</v>
      </c>
      <c r="N29" s="12">
        <f t="shared" si="12"/>
        <v>-100</v>
      </c>
      <c r="O29" s="13">
        <f t="shared" si="3"/>
        <v>-159.44000000000005</v>
      </c>
      <c r="P29" s="13">
        <f t="shared" si="4"/>
        <v>-259.44000000000005</v>
      </c>
      <c r="Q29" s="47" t="s">
        <v>63</v>
      </c>
      <c r="R29" s="47" t="s">
        <v>41</v>
      </c>
      <c r="S29" s="56" t="s">
        <v>50</v>
      </c>
      <c r="T29" s="16" t="e">
        <f>#REF!-#REF!</f>
        <v>#REF!</v>
      </c>
      <c r="W29" s="44"/>
      <c r="X29" s="44"/>
      <c r="AA29" s="19"/>
      <c r="AB29" s="44"/>
    </row>
    <row r="30" spans="1:28" s="33" customFormat="1" ht="18" customHeight="1" x14ac:dyDescent="0.2">
      <c r="A30" s="50" t="s">
        <v>16</v>
      </c>
      <c r="B30" s="51"/>
      <c r="C30" s="52"/>
      <c r="D30" s="26"/>
      <c r="E30" s="31" t="s">
        <v>68</v>
      </c>
      <c r="F30" s="32"/>
      <c r="G30" s="15">
        <f t="shared" ref="G30:K30" si="17">SUM(G31:G33)</f>
        <v>2700</v>
      </c>
      <c r="H30" s="15">
        <f t="shared" si="17"/>
        <v>14300</v>
      </c>
      <c r="I30" s="15">
        <f t="shared" si="17"/>
        <v>15400</v>
      </c>
      <c r="J30" s="15">
        <f t="shared" si="17"/>
        <v>15700</v>
      </c>
      <c r="K30" s="15">
        <f t="shared" si="17"/>
        <v>16058.73</v>
      </c>
      <c r="L30" s="15">
        <f>SUM(L31:L33)</f>
        <v>4861.25</v>
      </c>
      <c r="M30" s="12">
        <f t="shared" si="11"/>
        <v>300</v>
      </c>
      <c r="N30" s="12">
        <f t="shared" si="12"/>
        <v>13000</v>
      </c>
      <c r="O30" s="13">
        <f t="shared" si="3"/>
        <v>358.72999999999956</v>
      </c>
      <c r="P30" s="13">
        <f t="shared" si="4"/>
        <v>13358.73</v>
      </c>
      <c r="Q30" s="14"/>
      <c r="R30" s="14"/>
      <c r="S30" s="15"/>
      <c r="T30" s="16" t="e">
        <f>#REF!-#REF!</f>
        <v>#REF!</v>
      </c>
      <c r="W30" s="34"/>
      <c r="X30" s="34"/>
      <c r="AA30" s="19"/>
    </row>
    <row r="31" spans="1:28" s="43" customFormat="1" ht="18" customHeight="1" x14ac:dyDescent="0.2">
      <c r="A31" s="53" t="s">
        <v>16</v>
      </c>
      <c r="B31" s="54"/>
      <c r="C31" s="55"/>
      <c r="D31" s="25"/>
      <c r="E31" s="31"/>
      <c r="F31" s="38" t="s">
        <v>69</v>
      </c>
      <c r="G31" s="39">
        <v>2200</v>
      </c>
      <c r="H31" s="39">
        <f>FLOOR(2051.42/7*12,100)</f>
        <v>3500</v>
      </c>
      <c r="I31" s="39">
        <f>FLOOR(3029.56/10*12,100)</f>
        <v>3600</v>
      </c>
      <c r="J31" s="39">
        <f>FLOOR(3404.56/11*12,100)</f>
        <v>3700</v>
      </c>
      <c r="K31" s="39">
        <v>3731.85</v>
      </c>
      <c r="L31" s="39">
        <v>2302.33</v>
      </c>
      <c r="M31" s="12">
        <f t="shared" si="11"/>
        <v>100</v>
      </c>
      <c r="N31" s="12">
        <f t="shared" si="12"/>
        <v>1500</v>
      </c>
      <c r="O31" s="13">
        <f t="shared" si="3"/>
        <v>31.849999999999909</v>
      </c>
      <c r="P31" s="13">
        <f t="shared" si="4"/>
        <v>1531.85</v>
      </c>
      <c r="Q31" s="47" t="s">
        <v>66</v>
      </c>
      <c r="R31" s="47" t="s">
        <v>41</v>
      </c>
      <c r="S31" s="15"/>
      <c r="T31" s="16" t="e">
        <f>#REF!-#REF!</f>
        <v>#REF!</v>
      </c>
      <c r="W31" s="44"/>
      <c r="X31" s="44"/>
      <c r="AA31" s="19"/>
    </row>
    <row r="32" spans="1:28" s="43" customFormat="1" ht="18" customHeight="1" x14ac:dyDescent="0.2">
      <c r="A32" s="53" t="s">
        <v>16</v>
      </c>
      <c r="B32" s="54"/>
      <c r="C32" s="55"/>
      <c r="D32" s="25"/>
      <c r="E32" s="31"/>
      <c r="F32" s="38" t="s">
        <v>70</v>
      </c>
      <c r="G32" s="39">
        <v>0</v>
      </c>
      <c r="H32" s="39">
        <v>1600</v>
      </c>
      <c r="I32" s="39">
        <f>H32</f>
        <v>1600</v>
      </c>
      <c r="J32" s="39">
        <v>1700</v>
      </c>
      <c r="K32" s="39">
        <v>1791.92</v>
      </c>
      <c r="L32" s="39">
        <v>229.5</v>
      </c>
      <c r="M32" s="12">
        <f t="shared" si="11"/>
        <v>100</v>
      </c>
      <c r="N32" s="12">
        <f t="shared" si="12"/>
        <v>1700</v>
      </c>
      <c r="O32" s="13">
        <f t="shared" si="3"/>
        <v>91.920000000000073</v>
      </c>
      <c r="P32" s="13">
        <f t="shared" si="4"/>
        <v>1791.92</v>
      </c>
      <c r="Q32" s="45" t="s">
        <v>71</v>
      </c>
      <c r="R32" s="14"/>
      <c r="S32" s="15"/>
      <c r="T32" s="16" t="e">
        <f>#REF!-#REF!</f>
        <v>#REF!</v>
      </c>
      <c r="W32" s="44"/>
      <c r="X32" s="44"/>
      <c r="AA32" s="19"/>
    </row>
    <row r="33" spans="1:27" s="43" customFormat="1" ht="18" customHeight="1" x14ac:dyDescent="0.2">
      <c r="A33" s="53" t="s">
        <v>16</v>
      </c>
      <c r="B33" s="54"/>
      <c r="C33" s="55"/>
      <c r="D33" s="25"/>
      <c r="E33" s="31"/>
      <c r="F33" s="38" t="s">
        <v>72</v>
      </c>
      <c r="G33" s="39">
        <v>500</v>
      </c>
      <c r="H33" s="39">
        <f>CEILING((9132.43-9115.65)/7*12+9115.65,100)</f>
        <v>9200</v>
      </c>
      <c r="I33" s="39">
        <v>10200</v>
      </c>
      <c r="J33" s="39">
        <v>10300</v>
      </c>
      <c r="K33" s="39">
        <v>10534.96</v>
      </c>
      <c r="L33" s="39">
        <v>2329.42</v>
      </c>
      <c r="M33" s="12">
        <f t="shared" si="11"/>
        <v>100</v>
      </c>
      <c r="N33" s="12">
        <f t="shared" si="12"/>
        <v>9800</v>
      </c>
      <c r="O33" s="13">
        <f t="shared" si="3"/>
        <v>234.95999999999913</v>
      </c>
      <c r="P33" s="13">
        <f t="shared" si="4"/>
        <v>10034.959999999999</v>
      </c>
      <c r="Q33" s="47" t="s">
        <v>73</v>
      </c>
      <c r="R33" s="47" t="s">
        <v>74</v>
      </c>
      <c r="S33" s="15"/>
      <c r="T33" s="16" t="e">
        <f>#REF!-#REF!</f>
        <v>#REF!</v>
      </c>
      <c r="W33" s="44"/>
      <c r="X33" s="44"/>
      <c r="AA33" s="19"/>
    </row>
    <row r="34" spans="1:27" s="17" customFormat="1" ht="18" customHeight="1" x14ac:dyDescent="0.2">
      <c r="A34" s="20" t="s">
        <v>16</v>
      </c>
      <c r="B34" s="48"/>
      <c r="C34" s="49"/>
      <c r="D34" s="49" t="s">
        <v>75</v>
      </c>
      <c r="E34" s="57"/>
      <c r="F34" s="58"/>
      <c r="G34" s="28">
        <f t="shared" ref="G34:K34" si="18">G35</f>
        <v>23800</v>
      </c>
      <c r="H34" s="28">
        <f t="shared" si="18"/>
        <v>24200</v>
      </c>
      <c r="I34" s="28">
        <f t="shared" si="18"/>
        <v>25200</v>
      </c>
      <c r="J34" s="28">
        <f t="shared" si="18"/>
        <v>22300</v>
      </c>
      <c r="K34" s="28">
        <f t="shared" si="18"/>
        <v>25707.37</v>
      </c>
      <c r="L34" s="28">
        <f>L35</f>
        <v>26626.5</v>
      </c>
      <c r="M34" s="12">
        <f t="shared" si="11"/>
        <v>-2900</v>
      </c>
      <c r="N34" s="12">
        <f t="shared" si="12"/>
        <v>-1500</v>
      </c>
      <c r="O34" s="13">
        <f t="shared" si="3"/>
        <v>3407.369999999999</v>
      </c>
      <c r="P34" s="13">
        <f t="shared" si="4"/>
        <v>1907.369999999999</v>
      </c>
      <c r="Q34" s="14"/>
      <c r="R34" s="14"/>
      <c r="S34" s="15"/>
      <c r="T34" s="16" t="e">
        <f>#REF!-#REF!</f>
        <v>#REF!</v>
      </c>
      <c r="W34" s="18"/>
      <c r="X34" s="18"/>
      <c r="AA34" s="19"/>
    </row>
    <row r="35" spans="1:27" s="33" customFormat="1" ht="18" customHeight="1" x14ac:dyDescent="0.2">
      <c r="A35" s="50" t="s">
        <v>16</v>
      </c>
      <c r="B35" s="51"/>
      <c r="C35" s="52"/>
      <c r="D35" s="57"/>
      <c r="E35" s="52" t="s">
        <v>76</v>
      </c>
      <c r="F35" s="59"/>
      <c r="G35" s="15">
        <f t="shared" ref="G35:K35" si="19">SUM(G36:G38)</f>
        <v>23800</v>
      </c>
      <c r="H35" s="15">
        <f t="shared" si="19"/>
        <v>24200</v>
      </c>
      <c r="I35" s="15">
        <f t="shared" si="19"/>
        <v>25200</v>
      </c>
      <c r="J35" s="15">
        <f t="shared" si="19"/>
        <v>22300</v>
      </c>
      <c r="K35" s="15">
        <f t="shared" si="19"/>
        <v>25707.37</v>
      </c>
      <c r="L35" s="15">
        <f>SUM(L36:L38)</f>
        <v>26626.5</v>
      </c>
      <c r="M35" s="12">
        <f t="shared" si="11"/>
        <v>-2900</v>
      </c>
      <c r="N35" s="12">
        <f t="shared" si="12"/>
        <v>-1500</v>
      </c>
      <c r="O35" s="13">
        <f t="shared" si="3"/>
        <v>3407.369999999999</v>
      </c>
      <c r="P35" s="13">
        <f t="shared" si="4"/>
        <v>1907.369999999999</v>
      </c>
      <c r="Q35" s="14"/>
      <c r="R35" s="14"/>
      <c r="S35" s="15"/>
      <c r="T35" s="16" t="e">
        <f>#REF!-#REF!</f>
        <v>#REF!</v>
      </c>
      <c r="W35" s="34"/>
      <c r="X35" s="34"/>
      <c r="AA35" s="19"/>
    </row>
    <row r="36" spans="1:27" s="43" customFormat="1" ht="18" customHeight="1" x14ac:dyDescent="0.2">
      <c r="A36" s="53" t="s">
        <v>16</v>
      </c>
      <c r="B36" s="54"/>
      <c r="C36" s="55"/>
      <c r="D36" s="49"/>
      <c r="E36" s="52"/>
      <c r="F36" s="38" t="s">
        <v>77</v>
      </c>
      <c r="G36" s="39">
        <v>23800</v>
      </c>
      <c r="H36" s="39">
        <v>24200</v>
      </c>
      <c r="I36" s="39">
        <v>25200</v>
      </c>
      <c r="J36" s="39">
        <v>22300</v>
      </c>
      <c r="K36" s="39">
        <v>25707.37</v>
      </c>
      <c r="L36" s="39">
        <v>26626.5</v>
      </c>
      <c r="M36" s="12">
        <f t="shared" si="11"/>
        <v>-2900</v>
      </c>
      <c r="N36" s="12">
        <f t="shared" si="12"/>
        <v>-1500</v>
      </c>
      <c r="O36" s="13">
        <f t="shared" si="3"/>
        <v>3407.369999999999</v>
      </c>
      <c r="P36" s="13">
        <f t="shared" si="4"/>
        <v>1907.369999999999</v>
      </c>
      <c r="Q36" s="45" t="s">
        <v>78</v>
      </c>
      <c r="R36" s="45" t="s">
        <v>79</v>
      </c>
      <c r="S36" s="15" t="s">
        <v>79</v>
      </c>
      <c r="T36" s="16" t="e">
        <f>#REF!-#REF!</f>
        <v>#REF!</v>
      </c>
      <c r="W36" s="44"/>
      <c r="X36" s="44"/>
      <c r="AA36" s="19"/>
    </row>
    <row r="37" spans="1:27" s="43" customFormat="1" ht="18" hidden="1" customHeight="1" x14ac:dyDescent="0.2">
      <c r="A37" s="53" t="s">
        <v>16</v>
      </c>
      <c r="B37" s="54"/>
      <c r="C37" s="55"/>
      <c r="D37" s="49"/>
      <c r="E37" s="52"/>
      <c r="F37" s="38" t="s">
        <v>80</v>
      </c>
      <c r="G37" s="60"/>
      <c r="H37" s="60"/>
      <c r="I37" s="60"/>
      <c r="J37" s="60"/>
      <c r="K37" s="60"/>
      <c r="L37" s="60"/>
      <c r="M37" s="12">
        <f t="shared" si="11"/>
        <v>0</v>
      </c>
      <c r="N37" s="12">
        <f t="shared" si="12"/>
        <v>0</v>
      </c>
      <c r="O37" s="13">
        <f t="shared" si="3"/>
        <v>0</v>
      </c>
      <c r="P37" s="13">
        <f t="shared" si="4"/>
        <v>0</v>
      </c>
      <c r="Q37" s="14"/>
      <c r="R37" s="14"/>
      <c r="S37" s="15"/>
      <c r="T37" s="16" t="e">
        <f>#REF!-#REF!</f>
        <v>#REF!</v>
      </c>
      <c r="W37" s="44"/>
      <c r="X37" s="44"/>
      <c r="AA37" s="19"/>
    </row>
    <row r="38" spans="1:27" s="43" customFormat="1" ht="18" hidden="1" customHeight="1" x14ac:dyDescent="0.2">
      <c r="A38" s="53" t="s">
        <v>16</v>
      </c>
      <c r="B38" s="54"/>
      <c r="C38" s="55"/>
      <c r="D38" s="49"/>
      <c r="E38" s="52"/>
      <c r="F38" s="38" t="s">
        <v>81</v>
      </c>
      <c r="G38" s="60"/>
      <c r="H38" s="60"/>
      <c r="I38" s="60"/>
      <c r="J38" s="60"/>
      <c r="K38" s="60"/>
      <c r="L38" s="60"/>
      <c r="M38" s="12">
        <f t="shared" si="11"/>
        <v>0</v>
      </c>
      <c r="N38" s="12">
        <f t="shared" si="12"/>
        <v>0</v>
      </c>
      <c r="O38" s="13">
        <f t="shared" si="3"/>
        <v>0</v>
      </c>
      <c r="P38" s="13">
        <f t="shared" si="4"/>
        <v>0</v>
      </c>
      <c r="Q38" s="14"/>
      <c r="R38" s="14"/>
      <c r="S38" s="15"/>
      <c r="T38" s="16" t="e">
        <f>#REF!-#REF!</f>
        <v>#REF!</v>
      </c>
      <c r="W38" s="44"/>
      <c r="X38" s="44"/>
      <c r="AA38" s="19"/>
    </row>
    <row r="39" spans="1:27" s="17" customFormat="1" ht="18" hidden="1" customHeight="1" x14ac:dyDescent="0.2">
      <c r="A39" s="20" t="s">
        <v>16</v>
      </c>
      <c r="B39" s="48"/>
      <c r="C39" s="49"/>
      <c r="D39" s="49" t="s">
        <v>82</v>
      </c>
      <c r="E39" s="57"/>
      <c r="F39" s="58"/>
      <c r="G39" s="28"/>
      <c r="H39" s="28"/>
      <c r="I39" s="28"/>
      <c r="J39" s="28"/>
      <c r="K39" s="28"/>
      <c r="L39" s="28"/>
      <c r="M39" s="12">
        <f t="shared" si="11"/>
        <v>0</v>
      </c>
      <c r="N39" s="12">
        <f t="shared" si="12"/>
        <v>0</v>
      </c>
      <c r="O39" s="13">
        <f t="shared" si="3"/>
        <v>0</v>
      </c>
      <c r="P39" s="13">
        <f t="shared" si="4"/>
        <v>0</v>
      </c>
      <c r="Q39" s="14"/>
      <c r="R39" s="14"/>
      <c r="S39" s="15"/>
      <c r="T39" s="16" t="e">
        <f>#REF!-#REF!</f>
        <v>#REF!</v>
      </c>
      <c r="W39" s="18"/>
      <c r="X39" s="18"/>
      <c r="AA39" s="19"/>
    </row>
    <row r="40" spans="1:27" s="43" customFormat="1" ht="18" hidden="1" customHeight="1" x14ac:dyDescent="0.2">
      <c r="A40" s="53" t="s">
        <v>16</v>
      </c>
      <c r="B40" s="54"/>
      <c r="C40" s="55"/>
      <c r="D40" s="49"/>
      <c r="E40" s="52" t="s">
        <v>83</v>
      </c>
      <c r="F40" s="59"/>
      <c r="G40" s="15"/>
      <c r="H40" s="15"/>
      <c r="I40" s="15"/>
      <c r="J40" s="15"/>
      <c r="K40" s="15"/>
      <c r="L40" s="15"/>
      <c r="M40" s="12">
        <f t="shared" si="11"/>
        <v>0</v>
      </c>
      <c r="N40" s="12">
        <f t="shared" si="12"/>
        <v>0</v>
      </c>
      <c r="O40" s="13">
        <f t="shared" si="3"/>
        <v>0</v>
      </c>
      <c r="P40" s="13">
        <f t="shared" si="4"/>
        <v>0</v>
      </c>
      <c r="Q40" s="14"/>
      <c r="R40" s="14"/>
      <c r="S40" s="15"/>
      <c r="T40" s="16" t="e">
        <f>#REF!-#REF!</f>
        <v>#REF!</v>
      </c>
      <c r="W40" s="44"/>
      <c r="X40" s="44"/>
      <c r="AA40" s="19"/>
    </row>
    <row r="41" spans="1:27" s="43" customFormat="1" ht="18" hidden="1" customHeight="1" x14ac:dyDescent="0.2">
      <c r="A41" s="53" t="s">
        <v>16</v>
      </c>
      <c r="B41" s="54"/>
      <c r="C41" s="55"/>
      <c r="D41" s="49"/>
      <c r="E41" s="52"/>
      <c r="F41" s="38" t="s">
        <v>84</v>
      </c>
      <c r="G41" s="61"/>
      <c r="H41" s="61"/>
      <c r="I41" s="61"/>
      <c r="J41" s="61"/>
      <c r="K41" s="61"/>
      <c r="L41" s="61"/>
      <c r="M41" s="12">
        <f t="shared" si="11"/>
        <v>0</v>
      </c>
      <c r="N41" s="12">
        <f t="shared" si="12"/>
        <v>0</v>
      </c>
      <c r="O41" s="13">
        <f t="shared" si="3"/>
        <v>0</v>
      </c>
      <c r="P41" s="13">
        <f t="shared" si="4"/>
        <v>0</v>
      </c>
      <c r="Q41" s="14"/>
      <c r="R41" s="14"/>
      <c r="S41" s="15"/>
      <c r="T41" s="16" t="e">
        <f>#REF!-#REF!</f>
        <v>#REF!</v>
      </c>
      <c r="W41" s="44"/>
      <c r="X41" s="44"/>
      <c r="AA41" s="19"/>
    </row>
    <row r="42" spans="1:27" s="43" customFormat="1" ht="18" hidden="1" customHeight="1" x14ac:dyDescent="0.2">
      <c r="A42" s="53" t="s">
        <v>16</v>
      </c>
      <c r="B42" s="54"/>
      <c r="C42" s="55"/>
      <c r="D42" s="49"/>
      <c r="E42" s="52"/>
      <c r="F42" s="38" t="s">
        <v>85</v>
      </c>
      <c r="G42" s="61"/>
      <c r="H42" s="61"/>
      <c r="I42" s="61"/>
      <c r="J42" s="61"/>
      <c r="K42" s="61"/>
      <c r="L42" s="61"/>
      <c r="M42" s="12">
        <f t="shared" si="11"/>
        <v>0</v>
      </c>
      <c r="N42" s="12">
        <f t="shared" si="12"/>
        <v>0</v>
      </c>
      <c r="O42" s="13">
        <f t="shared" si="3"/>
        <v>0</v>
      </c>
      <c r="P42" s="13">
        <f t="shared" si="4"/>
        <v>0</v>
      </c>
      <c r="Q42" s="14"/>
      <c r="R42" s="14"/>
      <c r="S42" s="15"/>
      <c r="T42" s="16" t="e">
        <f>#REF!-#REF!</f>
        <v>#REF!</v>
      </c>
      <c r="W42" s="44"/>
      <c r="X42" s="44"/>
      <c r="AA42" s="19"/>
    </row>
    <row r="43" spans="1:27" s="43" customFormat="1" ht="18" hidden="1" customHeight="1" x14ac:dyDescent="0.2">
      <c r="A43" s="53"/>
      <c r="B43" s="54"/>
      <c r="C43" s="55"/>
      <c r="D43" s="49"/>
      <c r="E43" s="52"/>
      <c r="F43" s="38" t="s">
        <v>86</v>
      </c>
      <c r="G43" s="62"/>
      <c r="H43" s="62"/>
      <c r="I43" s="62"/>
      <c r="J43" s="62"/>
      <c r="K43" s="62"/>
      <c r="L43" s="62"/>
      <c r="M43" s="12">
        <f t="shared" si="11"/>
        <v>0</v>
      </c>
      <c r="N43" s="12">
        <f t="shared" si="12"/>
        <v>0</v>
      </c>
      <c r="O43" s="13">
        <f t="shared" si="3"/>
        <v>0</v>
      </c>
      <c r="P43" s="13">
        <f t="shared" si="4"/>
        <v>0</v>
      </c>
      <c r="Q43" s="14"/>
      <c r="R43" s="14"/>
      <c r="S43" s="15"/>
      <c r="T43" s="16" t="e">
        <f>#REF!-#REF!</f>
        <v>#REF!</v>
      </c>
      <c r="W43" s="44"/>
      <c r="X43" s="44"/>
      <c r="AA43" s="19"/>
    </row>
    <row r="44" spans="1:27" s="43" customFormat="1" ht="18" hidden="1" customHeight="1" x14ac:dyDescent="0.2">
      <c r="A44" s="53" t="s">
        <v>16</v>
      </c>
      <c r="B44" s="54"/>
      <c r="C44" s="63" t="s">
        <v>87</v>
      </c>
      <c r="D44" s="63"/>
      <c r="E44" s="64"/>
      <c r="F44" s="22"/>
      <c r="G44" s="11"/>
      <c r="H44" s="11"/>
      <c r="I44" s="11"/>
      <c r="J44" s="11"/>
      <c r="K44" s="11"/>
      <c r="L44" s="11"/>
      <c r="M44" s="12">
        <f t="shared" si="11"/>
        <v>0</v>
      </c>
      <c r="N44" s="12">
        <f t="shared" si="12"/>
        <v>0</v>
      </c>
      <c r="O44" s="13">
        <f t="shared" si="3"/>
        <v>0</v>
      </c>
      <c r="P44" s="13">
        <f t="shared" si="4"/>
        <v>0</v>
      </c>
      <c r="Q44" s="14"/>
      <c r="R44" s="14"/>
      <c r="S44" s="15"/>
      <c r="T44" s="16" t="e">
        <f>#REF!-#REF!</f>
        <v>#REF!</v>
      </c>
      <c r="W44" s="44"/>
      <c r="X44" s="44"/>
      <c r="AA44" s="19"/>
    </row>
    <row r="45" spans="1:27" s="43" customFormat="1" ht="18" hidden="1" customHeight="1" x14ac:dyDescent="0.2">
      <c r="A45" s="53" t="s">
        <v>16</v>
      </c>
      <c r="B45" s="54"/>
      <c r="C45" s="55"/>
      <c r="D45" s="49" t="s">
        <v>88</v>
      </c>
      <c r="E45" s="52"/>
      <c r="F45" s="58"/>
      <c r="G45" s="28"/>
      <c r="H45" s="28"/>
      <c r="I45" s="28"/>
      <c r="J45" s="28"/>
      <c r="K45" s="28"/>
      <c r="L45" s="28"/>
      <c r="M45" s="12">
        <f t="shared" si="11"/>
        <v>0</v>
      </c>
      <c r="N45" s="12">
        <f t="shared" si="12"/>
        <v>0</v>
      </c>
      <c r="O45" s="13">
        <f t="shared" si="3"/>
        <v>0</v>
      </c>
      <c r="P45" s="13">
        <f t="shared" si="4"/>
        <v>0</v>
      </c>
      <c r="Q45" s="14"/>
      <c r="R45" s="14"/>
      <c r="S45" s="15"/>
      <c r="T45" s="16" t="e">
        <f>#REF!-#REF!</f>
        <v>#REF!</v>
      </c>
      <c r="W45" s="44"/>
      <c r="X45" s="44"/>
      <c r="AA45" s="19"/>
    </row>
    <row r="46" spans="1:27" s="43" customFormat="1" ht="18" hidden="1" customHeight="1" x14ac:dyDescent="0.2">
      <c r="A46" s="53" t="s">
        <v>16</v>
      </c>
      <c r="B46" s="54"/>
      <c r="C46" s="55"/>
      <c r="D46" s="49"/>
      <c r="E46" s="52" t="s">
        <v>88</v>
      </c>
      <c r="F46" s="59"/>
      <c r="G46" s="15"/>
      <c r="H46" s="15"/>
      <c r="I46" s="15"/>
      <c r="J46" s="15"/>
      <c r="K46" s="15"/>
      <c r="L46" s="15"/>
      <c r="M46" s="12">
        <f t="shared" si="11"/>
        <v>0</v>
      </c>
      <c r="N46" s="12">
        <f t="shared" si="12"/>
        <v>0</v>
      </c>
      <c r="O46" s="13">
        <f t="shared" si="3"/>
        <v>0</v>
      </c>
      <c r="P46" s="13">
        <f t="shared" si="4"/>
        <v>0</v>
      </c>
      <c r="Q46" s="14"/>
      <c r="R46" s="14"/>
      <c r="S46" s="15"/>
      <c r="T46" s="16" t="e">
        <f>#REF!-#REF!</f>
        <v>#REF!</v>
      </c>
      <c r="W46" s="44"/>
      <c r="X46" s="44"/>
      <c r="AA46" s="19"/>
    </row>
    <row r="47" spans="1:27" s="43" customFormat="1" ht="18" hidden="1" customHeight="1" x14ac:dyDescent="0.2">
      <c r="A47" s="53" t="s">
        <v>16</v>
      </c>
      <c r="B47" s="54"/>
      <c r="C47" s="55"/>
      <c r="D47" s="49"/>
      <c r="E47" s="52"/>
      <c r="F47" s="65" t="s">
        <v>88</v>
      </c>
      <c r="G47" s="62"/>
      <c r="H47" s="62"/>
      <c r="I47" s="62"/>
      <c r="J47" s="62"/>
      <c r="K47" s="62"/>
      <c r="L47" s="62"/>
      <c r="M47" s="12">
        <f t="shared" si="11"/>
        <v>0</v>
      </c>
      <c r="N47" s="12">
        <f t="shared" si="12"/>
        <v>0</v>
      </c>
      <c r="O47" s="13">
        <f t="shared" si="3"/>
        <v>0</v>
      </c>
      <c r="P47" s="13">
        <f t="shared" si="4"/>
        <v>0</v>
      </c>
      <c r="Q47" s="14"/>
      <c r="R47" s="14"/>
      <c r="S47" s="15"/>
      <c r="T47" s="16" t="e">
        <f>#REF!-#REF!</f>
        <v>#REF!</v>
      </c>
      <c r="W47" s="44"/>
      <c r="X47" s="44"/>
      <c r="AA47" s="19"/>
    </row>
    <row r="48" spans="1:27" s="17" customFormat="1" ht="18" customHeight="1" x14ac:dyDescent="0.2">
      <c r="A48" s="20" t="s">
        <v>16</v>
      </c>
      <c r="B48" s="21"/>
      <c r="C48" s="63" t="s">
        <v>89</v>
      </c>
      <c r="D48" s="63"/>
      <c r="E48" s="66"/>
      <c r="F48" s="22"/>
      <c r="G48" s="11">
        <f t="shared" ref="G48:K48" si="20">G49+G60</f>
        <v>1191800</v>
      </c>
      <c r="H48" s="11">
        <f t="shared" si="20"/>
        <v>1276121.3799999999</v>
      </c>
      <c r="I48" s="11">
        <f t="shared" si="20"/>
        <v>1407496.1600000001</v>
      </c>
      <c r="J48" s="11">
        <f t="shared" si="20"/>
        <v>2084932.8299999998</v>
      </c>
      <c r="K48" s="11">
        <f t="shared" si="20"/>
        <v>2528583.69</v>
      </c>
      <c r="L48" s="11">
        <f>L49+L60</f>
        <v>3857917.48</v>
      </c>
      <c r="M48" s="12">
        <f t="shared" si="11"/>
        <v>677436.66999999969</v>
      </c>
      <c r="N48" s="12">
        <f t="shared" si="12"/>
        <v>893132.82999999984</v>
      </c>
      <c r="O48" s="13">
        <f t="shared" si="3"/>
        <v>443650.8600000001</v>
      </c>
      <c r="P48" s="13">
        <f t="shared" si="4"/>
        <v>1336783.69</v>
      </c>
      <c r="Q48" s="14"/>
      <c r="R48" s="14"/>
      <c r="S48" s="15"/>
      <c r="T48" s="16" t="e">
        <f>#REF!-#REF!</f>
        <v>#REF!</v>
      </c>
      <c r="W48" s="18"/>
      <c r="X48" s="18"/>
      <c r="AA48" s="19"/>
    </row>
    <row r="49" spans="1:28" s="17" customFormat="1" ht="18" customHeight="1" x14ac:dyDescent="0.2">
      <c r="A49" s="20" t="s">
        <v>16</v>
      </c>
      <c r="B49" s="48"/>
      <c r="C49" s="49"/>
      <c r="D49" s="25" t="s">
        <v>90</v>
      </c>
      <c r="E49" s="26"/>
      <c r="F49" s="27"/>
      <c r="G49" s="28">
        <f t="shared" ref="G49:K49" si="21">G50+G54+G58</f>
        <v>420500</v>
      </c>
      <c r="H49" s="28">
        <f t="shared" si="21"/>
        <v>437800</v>
      </c>
      <c r="I49" s="28">
        <f t="shared" si="21"/>
        <v>533100</v>
      </c>
      <c r="J49" s="28">
        <f t="shared" si="21"/>
        <v>446000</v>
      </c>
      <c r="K49" s="28">
        <f t="shared" si="21"/>
        <v>451452.80999999994</v>
      </c>
      <c r="L49" s="28">
        <f>L50+L54+L58</f>
        <v>393913.07999999996</v>
      </c>
      <c r="M49" s="12">
        <f t="shared" si="11"/>
        <v>-87100</v>
      </c>
      <c r="N49" s="12">
        <f t="shared" si="12"/>
        <v>25500</v>
      </c>
      <c r="O49" s="13">
        <f t="shared" si="3"/>
        <v>5452.8099999999395</v>
      </c>
      <c r="P49" s="13">
        <f t="shared" si="4"/>
        <v>30952.809999999939</v>
      </c>
      <c r="Q49" s="14"/>
      <c r="R49" s="14"/>
      <c r="S49" s="15"/>
      <c r="T49" s="16" t="e">
        <f>#REF!-#REF!</f>
        <v>#REF!</v>
      </c>
      <c r="W49" s="18"/>
      <c r="X49" s="18"/>
      <c r="AA49" s="19"/>
    </row>
    <row r="50" spans="1:28" s="33" customFormat="1" ht="18" customHeight="1" x14ac:dyDescent="0.2">
      <c r="A50" s="50" t="s">
        <v>16</v>
      </c>
      <c r="B50" s="51"/>
      <c r="C50" s="52"/>
      <c r="D50" s="26"/>
      <c r="E50" s="31" t="s">
        <v>91</v>
      </c>
      <c r="F50" s="32"/>
      <c r="G50" s="15">
        <f t="shared" ref="G50:K50" si="22">SUM(G51:G53)</f>
        <v>236800</v>
      </c>
      <c r="H50" s="15">
        <f t="shared" si="22"/>
        <v>242000</v>
      </c>
      <c r="I50" s="15">
        <f t="shared" si="22"/>
        <v>245900</v>
      </c>
      <c r="J50" s="15">
        <f t="shared" si="22"/>
        <v>246200</v>
      </c>
      <c r="K50" s="15">
        <f t="shared" si="22"/>
        <v>245930.84999999998</v>
      </c>
      <c r="L50" s="15">
        <f>SUM(L51:L53)</f>
        <v>244091.83</v>
      </c>
      <c r="M50" s="12">
        <f t="shared" si="11"/>
        <v>300</v>
      </c>
      <c r="N50" s="12">
        <f t="shared" si="12"/>
        <v>9400</v>
      </c>
      <c r="O50" s="13">
        <f t="shared" si="3"/>
        <v>-269.15000000002328</v>
      </c>
      <c r="P50" s="13">
        <f t="shared" si="4"/>
        <v>9130.8499999999767</v>
      </c>
      <c r="Q50" s="14"/>
      <c r="R50" s="14"/>
      <c r="S50" s="15"/>
      <c r="T50" s="16" t="e">
        <f>#REF!-#REF!</f>
        <v>#REF!</v>
      </c>
      <c r="W50" s="34"/>
      <c r="X50" s="34"/>
      <c r="AA50" s="19"/>
    </row>
    <row r="51" spans="1:28" s="43" customFormat="1" ht="18" customHeight="1" x14ac:dyDescent="0.2">
      <c r="A51" s="53" t="s">
        <v>16</v>
      </c>
      <c r="B51" s="54"/>
      <c r="C51" s="55"/>
      <c r="D51" s="25"/>
      <c r="E51" s="31"/>
      <c r="F51" s="38" t="s">
        <v>92</v>
      </c>
      <c r="G51" s="39">
        <v>200500</v>
      </c>
      <c r="H51" s="39">
        <f>G51</f>
        <v>200500</v>
      </c>
      <c r="I51" s="39">
        <v>200500</v>
      </c>
      <c r="J51" s="39">
        <f>FLOOR(200567.17,100)</f>
        <v>200500</v>
      </c>
      <c r="K51" s="39">
        <v>198941.93</v>
      </c>
      <c r="L51" s="39">
        <v>198941.93</v>
      </c>
      <c r="M51" s="12">
        <f t="shared" si="11"/>
        <v>0</v>
      </c>
      <c r="N51" s="12">
        <f t="shared" si="12"/>
        <v>0</v>
      </c>
      <c r="O51" s="13">
        <f t="shared" si="3"/>
        <v>-1558.070000000007</v>
      </c>
      <c r="P51" s="13">
        <f t="shared" si="4"/>
        <v>-1558.070000000007</v>
      </c>
      <c r="Q51" s="14"/>
      <c r="R51" s="14"/>
      <c r="S51" s="15"/>
      <c r="T51" s="16" t="e">
        <f>#REF!-#REF!</f>
        <v>#REF!</v>
      </c>
      <c r="W51" s="44"/>
      <c r="X51" s="44"/>
      <c r="AA51" s="19"/>
    </row>
    <row r="52" spans="1:28" s="43" customFormat="1" ht="18" customHeight="1" x14ac:dyDescent="0.2">
      <c r="A52" s="53" t="s">
        <v>16</v>
      </c>
      <c r="B52" s="54"/>
      <c r="C52" s="55"/>
      <c r="D52" s="25"/>
      <c r="E52" s="31"/>
      <c r="F52" s="38" t="s">
        <v>93</v>
      </c>
      <c r="G52" s="39">
        <v>36300</v>
      </c>
      <c r="H52" s="39">
        <f>G52+5200</f>
        <v>41500</v>
      </c>
      <c r="I52" s="39">
        <f>FLOOR(245930.85-I51,100)</f>
        <v>45400</v>
      </c>
      <c r="J52" s="39">
        <f>FLOOR(245930.85-J51+335.88,100)</f>
        <v>45700</v>
      </c>
      <c r="K52" s="39">
        <v>46988.92</v>
      </c>
      <c r="L52" s="39">
        <v>45149.9</v>
      </c>
      <c r="M52" s="12">
        <f t="shared" si="11"/>
        <v>300</v>
      </c>
      <c r="N52" s="12">
        <f t="shared" si="12"/>
        <v>9400</v>
      </c>
      <c r="O52" s="13">
        <f t="shared" si="3"/>
        <v>1288.9199999999983</v>
      </c>
      <c r="P52" s="13">
        <f t="shared" si="4"/>
        <v>10688.919999999998</v>
      </c>
      <c r="Q52" s="14"/>
      <c r="R52" s="14"/>
      <c r="S52" s="15"/>
      <c r="T52" s="16" t="e">
        <f>#REF!-#REF!</f>
        <v>#REF!</v>
      </c>
      <c r="W52" s="44"/>
      <c r="X52" s="44"/>
      <c r="AA52" s="19"/>
    </row>
    <row r="53" spans="1:28" s="43" customFormat="1" ht="18" hidden="1" customHeight="1" x14ac:dyDescent="0.2">
      <c r="A53" s="53" t="s">
        <v>16</v>
      </c>
      <c r="B53" s="54"/>
      <c r="C53" s="55"/>
      <c r="D53" s="25"/>
      <c r="E53" s="31"/>
      <c r="F53" s="38" t="s">
        <v>94</v>
      </c>
      <c r="G53" s="39"/>
      <c r="H53" s="39"/>
      <c r="I53" s="39"/>
      <c r="J53" s="39"/>
      <c r="K53" s="39"/>
      <c r="L53" s="39"/>
      <c r="M53" s="12">
        <f t="shared" si="11"/>
        <v>0</v>
      </c>
      <c r="N53" s="12">
        <f t="shared" si="12"/>
        <v>0</v>
      </c>
      <c r="O53" s="13">
        <f t="shared" si="3"/>
        <v>0</v>
      </c>
      <c r="P53" s="13">
        <f t="shared" si="4"/>
        <v>0</v>
      </c>
      <c r="Q53" s="14"/>
      <c r="R53" s="14"/>
      <c r="S53" s="15"/>
      <c r="T53" s="16" t="e">
        <f>#REF!-#REF!</f>
        <v>#REF!</v>
      </c>
      <c r="W53" s="44"/>
      <c r="X53" s="44"/>
      <c r="AA53" s="19"/>
    </row>
    <row r="54" spans="1:28" s="33" customFormat="1" ht="18" hidden="1" customHeight="1" x14ac:dyDescent="0.2">
      <c r="A54" s="50" t="s">
        <v>16</v>
      </c>
      <c r="B54" s="51"/>
      <c r="C54" s="52"/>
      <c r="D54" s="26"/>
      <c r="E54" s="31" t="s">
        <v>95</v>
      </c>
      <c r="F54" s="32"/>
      <c r="G54" s="67">
        <f>G55</f>
        <v>0</v>
      </c>
      <c r="H54" s="67">
        <f t="shared" ref="H54:K54" si="23">H55</f>
        <v>0</v>
      </c>
      <c r="I54" s="67">
        <f t="shared" si="23"/>
        <v>85500</v>
      </c>
      <c r="J54" s="67">
        <f t="shared" si="23"/>
        <v>0</v>
      </c>
      <c r="K54" s="67">
        <f t="shared" si="23"/>
        <v>0</v>
      </c>
      <c r="L54" s="67"/>
      <c r="M54" s="12">
        <f t="shared" si="11"/>
        <v>-85500</v>
      </c>
      <c r="N54" s="12">
        <f t="shared" si="12"/>
        <v>0</v>
      </c>
      <c r="O54" s="13">
        <f t="shared" si="3"/>
        <v>0</v>
      </c>
      <c r="P54" s="13">
        <f t="shared" si="4"/>
        <v>0</v>
      </c>
      <c r="Q54" s="14"/>
      <c r="R54" s="14"/>
      <c r="S54" s="15"/>
      <c r="T54" s="16" t="e">
        <f>#REF!-#REF!</f>
        <v>#REF!</v>
      </c>
      <c r="W54" s="34"/>
      <c r="X54" s="34"/>
      <c r="AA54" s="19"/>
    </row>
    <row r="55" spans="1:28" s="43" customFormat="1" ht="30" hidden="1" customHeight="1" x14ac:dyDescent="0.2">
      <c r="A55" s="53" t="s">
        <v>16</v>
      </c>
      <c r="B55" s="54"/>
      <c r="C55" s="55"/>
      <c r="D55" s="25"/>
      <c r="E55" s="31"/>
      <c r="F55" s="38" t="s">
        <v>95</v>
      </c>
      <c r="G55" s="39">
        <v>0</v>
      </c>
      <c r="H55" s="39">
        <v>0</v>
      </c>
      <c r="I55" s="39">
        <f>FLOOR(74822/21*24,100)</f>
        <v>85500</v>
      </c>
      <c r="J55" s="39">
        <v>0</v>
      </c>
      <c r="K55" s="39"/>
      <c r="L55" s="39"/>
      <c r="M55" s="12">
        <f t="shared" si="11"/>
        <v>-85500</v>
      </c>
      <c r="N55" s="12">
        <f t="shared" si="12"/>
        <v>0</v>
      </c>
      <c r="O55" s="13">
        <f t="shared" si="3"/>
        <v>0</v>
      </c>
      <c r="P55" s="13">
        <f t="shared" si="4"/>
        <v>0</v>
      </c>
      <c r="Q55" s="68" t="s">
        <v>96</v>
      </c>
      <c r="R55" s="14"/>
      <c r="S55" s="15"/>
      <c r="T55" s="16" t="e">
        <f>#REF!-#REF!</f>
        <v>#REF!</v>
      </c>
      <c r="W55" s="44"/>
      <c r="X55" s="44"/>
      <c r="AA55" s="19"/>
    </row>
    <row r="56" spans="1:28" s="43" customFormat="1" ht="18" hidden="1" customHeight="1" x14ac:dyDescent="0.2">
      <c r="A56" s="53" t="s">
        <v>16</v>
      </c>
      <c r="B56" s="54"/>
      <c r="C56" s="55"/>
      <c r="D56" s="25"/>
      <c r="E56" s="31"/>
      <c r="F56" s="38" t="s">
        <v>97</v>
      </c>
      <c r="G56" s="39"/>
      <c r="H56" s="39"/>
      <c r="I56" s="39"/>
      <c r="J56" s="39"/>
      <c r="K56" s="39"/>
      <c r="L56" s="39"/>
      <c r="M56" s="12">
        <f t="shared" si="11"/>
        <v>0</v>
      </c>
      <c r="N56" s="12">
        <f t="shared" si="12"/>
        <v>0</v>
      </c>
      <c r="O56" s="13">
        <f t="shared" si="3"/>
        <v>0</v>
      </c>
      <c r="P56" s="13">
        <f t="shared" si="4"/>
        <v>0</v>
      </c>
      <c r="Q56" s="14"/>
      <c r="R56" s="14"/>
      <c r="S56" s="15"/>
      <c r="T56" s="16" t="e">
        <f>#REF!-#REF!</f>
        <v>#REF!</v>
      </c>
      <c r="W56" s="44"/>
      <c r="X56" s="44"/>
      <c r="AA56" s="19"/>
    </row>
    <row r="57" spans="1:28" s="43" customFormat="1" ht="18" hidden="1" customHeight="1" x14ac:dyDescent="0.2">
      <c r="A57" s="53"/>
      <c r="B57" s="54"/>
      <c r="C57" s="55"/>
      <c r="D57" s="25"/>
      <c r="E57" s="31"/>
      <c r="F57" s="38" t="s">
        <v>98</v>
      </c>
      <c r="G57" s="39"/>
      <c r="H57" s="39"/>
      <c r="I57" s="39"/>
      <c r="J57" s="39"/>
      <c r="K57" s="39"/>
      <c r="L57" s="39"/>
      <c r="M57" s="12">
        <f t="shared" si="11"/>
        <v>0</v>
      </c>
      <c r="N57" s="12">
        <f t="shared" si="12"/>
        <v>0</v>
      </c>
      <c r="O57" s="13">
        <f t="shared" si="3"/>
        <v>0</v>
      </c>
      <c r="P57" s="13">
        <f t="shared" si="4"/>
        <v>0</v>
      </c>
      <c r="Q57" s="14"/>
      <c r="R57" s="14"/>
      <c r="S57" s="15"/>
      <c r="T57" s="16" t="e">
        <f>#REF!-#REF!</f>
        <v>#REF!</v>
      </c>
      <c r="W57" s="44"/>
      <c r="X57" s="44"/>
      <c r="AA57" s="19"/>
    </row>
    <row r="58" spans="1:28" s="33" customFormat="1" ht="18" customHeight="1" x14ac:dyDescent="0.2">
      <c r="A58" s="50" t="s">
        <v>16</v>
      </c>
      <c r="B58" s="51"/>
      <c r="C58" s="52"/>
      <c r="D58" s="26"/>
      <c r="E58" s="31" t="s">
        <v>99</v>
      </c>
      <c r="F58" s="32"/>
      <c r="G58" s="15">
        <f t="shared" ref="G58:K58" si="24">G59</f>
        <v>183700</v>
      </c>
      <c r="H58" s="15">
        <f t="shared" si="24"/>
        <v>195800</v>
      </c>
      <c r="I58" s="15">
        <f t="shared" si="24"/>
        <v>201700</v>
      </c>
      <c r="J58" s="15">
        <f t="shared" si="24"/>
        <v>199800</v>
      </c>
      <c r="K58" s="15">
        <f t="shared" si="24"/>
        <v>205521.96</v>
      </c>
      <c r="L58" s="15">
        <f>L59</f>
        <v>149821.25</v>
      </c>
      <c r="M58" s="12">
        <f t="shared" si="11"/>
        <v>-1900</v>
      </c>
      <c r="N58" s="12">
        <f t="shared" si="12"/>
        <v>16100</v>
      </c>
      <c r="O58" s="13">
        <f t="shared" si="3"/>
        <v>5721.9599999999919</v>
      </c>
      <c r="P58" s="13">
        <f t="shared" si="4"/>
        <v>21821.959999999992</v>
      </c>
      <c r="Q58" s="14"/>
      <c r="R58" s="14"/>
      <c r="S58" s="15"/>
      <c r="T58" s="16" t="e">
        <f>#REF!-#REF!</f>
        <v>#REF!</v>
      </c>
      <c r="W58" s="34"/>
      <c r="X58" s="34"/>
      <c r="AA58" s="19"/>
    </row>
    <row r="59" spans="1:28" s="43" customFormat="1" ht="18" customHeight="1" x14ac:dyDescent="0.2">
      <c r="A59" s="53" t="s">
        <v>16</v>
      </c>
      <c r="B59" s="54"/>
      <c r="C59" s="55"/>
      <c r="D59" s="25"/>
      <c r="E59" s="31"/>
      <c r="F59" s="38" t="s">
        <v>100</v>
      </c>
      <c r="G59" s="39">
        <v>183700</v>
      </c>
      <c r="H59" s="39">
        <v>195800</v>
      </c>
      <c r="I59" s="39">
        <v>201700</v>
      </c>
      <c r="J59" s="39">
        <v>199800</v>
      </c>
      <c r="K59" s="39">
        <v>205521.96</v>
      </c>
      <c r="L59" s="39">
        <f>118221.55+1910.13+29689.57</f>
        <v>149821.25</v>
      </c>
      <c r="M59" s="12">
        <f t="shared" si="11"/>
        <v>-1900</v>
      </c>
      <c r="N59" s="12">
        <f t="shared" si="12"/>
        <v>16100</v>
      </c>
      <c r="O59" s="13">
        <f t="shared" si="3"/>
        <v>5721.9599999999919</v>
      </c>
      <c r="P59" s="13">
        <f t="shared" si="4"/>
        <v>21821.959999999992</v>
      </c>
      <c r="Q59" s="45" t="s">
        <v>101</v>
      </c>
      <c r="R59" s="45"/>
      <c r="S59" s="60"/>
      <c r="T59" s="69" t="e">
        <f>#REF!-#REF!</f>
        <v>#REF!</v>
      </c>
      <c r="W59" s="44"/>
      <c r="X59" s="44"/>
      <c r="AA59" s="70">
        <f>G143-G59</f>
        <v>35400</v>
      </c>
    </row>
    <row r="60" spans="1:28" s="17" customFormat="1" ht="18" customHeight="1" x14ac:dyDescent="0.2">
      <c r="A60" s="20" t="s">
        <v>16</v>
      </c>
      <c r="B60" s="48"/>
      <c r="C60" s="49"/>
      <c r="D60" s="25" t="s">
        <v>102</v>
      </c>
      <c r="E60" s="26"/>
      <c r="F60" s="27"/>
      <c r="G60" s="28">
        <f t="shared" ref="G60:K60" si="25">G61+G68+G80</f>
        <v>771300</v>
      </c>
      <c r="H60" s="28">
        <f t="shared" si="25"/>
        <v>838321.38</v>
      </c>
      <c r="I60" s="28">
        <f t="shared" si="25"/>
        <v>874396.16000000003</v>
      </c>
      <c r="J60" s="28">
        <f t="shared" si="25"/>
        <v>1638932.8299999998</v>
      </c>
      <c r="K60" s="28">
        <f t="shared" si="25"/>
        <v>2077130.8800000001</v>
      </c>
      <c r="L60" s="28">
        <f>L61+L68+L80</f>
        <v>3464004.4</v>
      </c>
      <c r="M60" s="12">
        <f t="shared" si="11"/>
        <v>764536.66999999981</v>
      </c>
      <c r="N60" s="12">
        <f t="shared" si="12"/>
        <v>867632.82999999984</v>
      </c>
      <c r="O60" s="13">
        <f t="shared" si="3"/>
        <v>438198.05000000028</v>
      </c>
      <c r="P60" s="13">
        <f t="shared" si="4"/>
        <v>1305830.8800000001</v>
      </c>
      <c r="Q60" s="45"/>
      <c r="R60" s="45"/>
      <c r="S60" s="60"/>
      <c r="T60" s="69" t="e">
        <f>#REF!-#REF!</f>
        <v>#REF!</v>
      </c>
      <c r="W60" s="18"/>
      <c r="X60" s="18"/>
      <c r="AA60" s="70">
        <f>K143-K59</f>
        <v>47005.25</v>
      </c>
      <c r="AB60" s="43"/>
    </row>
    <row r="61" spans="1:28" s="33" customFormat="1" ht="18" customHeight="1" x14ac:dyDescent="0.2">
      <c r="A61" s="50" t="s">
        <v>16</v>
      </c>
      <c r="B61" s="51"/>
      <c r="C61" s="52"/>
      <c r="D61" s="26"/>
      <c r="E61" s="31" t="s">
        <v>103</v>
      </c>
      <c r="F61" s="32"/>
      <c r="G61" s="15">
        <f t="shared" ref="G61:K61" si="26">SUM(G62:G67)</f>
        <v>565200</v>
      </c>
      <c r="H61" s="15">
        <f t="shared" si="26"/>
        <v>564935.19999999995</v>
      </c>
      <c r="I61" s="15">
        <f t="shared" si="26"/>
        <v>569800</v>
      </c>
      <c r="J61" s="15">
        <f t="shared" si="26"/>
        <v>1336546.8599999999</v>
      </c>
      <c r="K61" s="15">
        <f t="shared" si="26"/>
        <v>1773990.3800000001</v>
      </c>
      <c r="L61" s="15">
        <f>SUM(L62:L67)</f>
        <v>3214281.21</v>
      </c>
      <c r="M61" s="12">
        <f t="shared" si="11"/>
        <v>766746.85999999987</v>
      </c>
      <c r="N61" s="12">
        <f t="shared" si="12"/>
        <v>771346.85999999987</v>
      </c>
      <c r="O61" s="13">
        <f t="shared" si="3"/>
        <v>437443.52000000025</v>
      </c>
      <c r="P61" s="13">
        <f t="shared" si="4"/>
        <v>1208790.3800000001</v>
      </c>
      <c r="Q61" s="14"/>
      <c r="R61" s="14"/>
      <c r="S61" s="15"/>
      <c r="T61" s="16" t="e">
        <f>#REF!-#REF!</f>
        <v>#REF!</v>
      </c>
      <c r="W61" s="34"/>
      <c r="X61" s="34"/>
      <c r="AA61" s="19"/>
    </row>
    <row r="62" spans="1:28" s="43" customFormat="1" ht="18" customHeight="1" x14ac:dyDescent="0.2">
      <c r="A62" s="53" t="s">
        <v>16</v>
      </c>
      <c r="B62" s="54"/>
      <c r="C62" s="55"/>
      <c r="D62" s="25"/>
      <c r="E62" s="31"/>
      <c r="F62" s="38" t="s">
        <v>104</v>
      </c>
      <c r="G62" s="39">
        <v>1000</v>
      </c>
      <c r="H62" s="39">
        <v>2500</v>
      </c>
      <c r="I62" s="39">
        <v>6100</v>
      </c>
      <c r="J62" s="39">
        <v>6137.86</v>
      </c>
      <c r="K62" s="39">
        <v>6137.86</v>
      </c>
      <c r="L62" s="39">
        <v>6905.05</v>
      </c>
      <c r="M62" s="12">
        <f t="shared" si="11"/>
        <v>37.859999999999673</v>
      </c>
      <c r="N62" s="12">
        <f t="shared" si="12"/>
        <v>5137.8599999999997</v>
      </c>
      <c r="O62" s="13">
        <f t="shared" si="3"/>
        <v>0</v>
      </c>
      <c r="P62" s="13">
        <f t="shared" si="4"/>
        <v>5137.8599999999997</v>
      </c>
      <c r="Q62" s="14"/>
      <c r="R62" s="14"/>
      <c r="S62" s="15"/>
      <c r="T62" s="16" t="e">
        <f>#REF!-#REF!</f>
        <v>#REF!</v>
      </c>
      <c r="W62" s="44"/>
      <c r="X62" s="44"/>
      <c r="AA62" s="19"/>
    </row>
    <row r="63" spans="1:28" s="43" customFormat="1" ht="18" customHeight="1" x14ac:dyDescent="0.2">
      <c r="A63" s="53" t="s">
        <v>16</v>
      </c>
      <c r="B63" s="54"/>
      <c r="C63" s="55"/>
      <c r="D63" s="25"/>
      <c r="E63" s="31"/>
      <c r="F63" s="38" t="s">
        <v>105</v>
      </c>
      <c r="G63" s="39">
        <v>0</v>
      </c>
      <c r="H63" s="39">
        <f>G63</f>
        <v>0</v>
      </c>
      <c r="I63" s="39">
        <f t="shared" ref="I63:I67" si="27">H63</f>
        <v>0</v>
      </c>
      <c r="J63" s="39"/>
      <c r="K63" s="39">
        <v>0</v>
      </c>
      <c r="L63" s="39">
        <f>20018.41+906.65</f>
        <v>20925.060000000001</v>
      </c>
      <c r="M63" s="12">
        <f t="shared" si="11"/>
        <v>0</v>
      </c>
      <c r="N63" s="12">
        <f t="shared" si="12"/>
        <v>0</v>
      </c>
      <c r="O63" s="13">
        <f t="shared" si="3"/>
        <v>0</v>
      </c>
      <c r="P63" s="13">
        <f t="shared" si="4"/>
        <v>0</v>
      </c>
      <c r="Q63" s="14"/>
      <c r="R63" s="45" t="s">
        <v>106</v>
      </c>
      <c r="S63" s="15"/>
      <c r="T63" s="16" t="e">
        <f>#REF!-#REF!</f>
        <v>#REF!</v>
      </c>
      <c r="W63" s="44"/>
      <c r="X63" s="44"/>
      <c r="AA63" s="19"/>
    </row>
    <row r="64" spans="1:28" s="43" customFormat="1" ht="18" customHeight="1" x14ac:dyDescent="0.2">
      <c r="A64" s="53" t="s">
        <v>16</v>
      </c>
      <c r="B64" s="54"/>
      <c r="C64" s="55"/>
      <c r="D64" s="25"/>
      <c r="E64" s="31"/>
      <c r="F64" s="38" t="s">
        <v>107</v>
      </c>
      <c r="G64" s="39">
        <v>129300</v>
      </c>
      <c r="H64" s="39">
        <f>G64</f>
        <v>129300</v>
      </c>
      <c r="I64" s="39">
        <f t="shared" si="27"/>
        <v>129300</v>
      </c>
      <c r="J64" s="39">
        <v>105000</v>
      </c>
      <c r="K64" s="39">
        <v>113123.67</v>
      </c>
      <c r="L64" s="39">
        <f>86509.45+5164.91+401.68+1027.3+17832.3</f>
        <v>110935.64</v>
      </c>
      <c r="M64" s="12">
        <f t="shared" si="11"/>
        <v>-24300</v>
      </c>
      <c r="N64" s="12">
        <f t="shared" si="12"/>
        <v>-24300</v>
      </c>
      <c r="O64" s="13">
        <f t="shared" si="3"/>
        <v>8123.6699999999983</v>
      </c>
      <c r="P64" s="13">
        <f t="shared" si="4"/>
        <v>-16176.330000000002</v>
      </c>
      <c r="Q64" s="45" t="s">
        <v>108</v>
      </c>
      <c r="R64" s="45" t="s">
        <v>108</v>
      </c>
      <c r="S64" s="15"/>
      <c r="T64" s="16" t="e">
        <f>#REF!-#REF!</f>
        <v>#REF!</v>
      </c>
      <c r="W64" s="44"/>
      <c r="X64" s="44"/>
      <c r="AA64" s="19"/>
    </row>
    <row r="65" spans="1:27" s="43" customFormat="1" ht="18" hidden="1" customHeight="1" x14ac:dyDescent="0.2">
      <c r="A65" s="53"/>
      <c r="B65" s="54"/>
      <c r="C65" s="55"/>
      <c r="D65" s="25"/>
      <c r="E65" s="31"/>
      <c r="F65" s="38" t="s">
        <v>109</v>
      </c>
      <c r="G65" s="39"/>
      <c r="H65" s="39"/>
      <c r="I65" s="39">
        <f t="shared" si="27"/>
        <v>0</v>
      </c>
      <c r="J65" s="39"/>
      <c r="K65" s="39"/>
      <c r="L65" s="39"/>
      <c r="M65" s="12">
        <f t="shared" si="11"/>
        <v>0</v>
      </c>
      <c r="N65" s="12">
        <f t="shared" si="12"/>
        <v>0</v>
      </c>
      <c r="O65" s="13">
        <f t="shared" si="3"/>
        <v>0</v>
      </c>
      <c r="P65" s="13">
        <f t="shared" si="4"/>
        <v>0</v>
      </c>
      <c r="Q65" s="14"/>
      <c r="R65" s="14"/>
      <c r="S65" s="15"/>
      <c r="T65" s="16" t="e">
        <f>#REF!-#REF!</f>
        <v>#REF!</v>
      </c>
      <c r="W65" s="44"/>
      <c r="X65" s="44"/>
      <c r="AA65" s="19"/>
    </row>
    <row r="66" spans="1:27" s="43" customFormat="1" ht="18" customHeight="1" x14ac:dyDescent="0.2">
      <c r="A66" s="53"/>
      <c r="B66" s="54"/>
      <c r="C66" s="55"/>
      <c r="D66" s="25"/>
      <c r="E66" s="31"/>
      <c r="F66" s="38" t="s">
        <v>110</v>
      </c>
      <c r="G66" s="39">
        <v>32600</v>
      </c>
      <c r="H66" s="39">
        <v>30835.200000000001</v>
      </c>
      <c r="I66" s="39">
        <v>32100</v>
      </c>
      <c r="J66" s="39">
        <v>38709</v>
      </c>
      <c r="K66" s="39">
        <v>38709</v>
      </c>
      <c r="L66" s="39">
        <v>32665.200000000001</v>
      </c>
      <c r="M66" s="12">
        <f t="shared" si="11"/>
        <v>6609</v>
      </c>
      <c r="N66" s="12">
        <f t="shared" si="12"/>
        <v>6109</v>
      </c>
      <c r="O66" s="13">
        <f t="shared" ref="O66:O129" si="28">K66-J66</f>
        <v>0</v>
      </c>
      <c r="P66" s="13">
        <f t="shared" ref="P66:P129" si="29">K66-G66</f>
        <v>6109</v>
      </c>
      <c r="Q66" s="14"/>
      <c r="R66" s="14"/>
      <c r="S66" s="15"/>
      <c r="T66" s="16" t="e">
        <f>#REF!-#REF!</f>
        <v>#REF!</v>
      </c>
      <c r="W66" s="44"/>
      <c r="X66" s="44"/>
      <c r="AA66" s="19"/>
    </row>
    <row r="67" spans="1:27" s="43" customFormat="1" ht="19.5" customHeight="1" x14ac:dyDescent="0.2">
      <c r="A67" s="53"/>
      <c r="B67" s="54"/>
      <c r="C67" s="55"/>
      <c r="D67" s="25"/>
      <c r="E67" s="31"/>
      <c r="F67" s="38" t="s">
        <v>111</v>
      </c>
      <c r="G67" s="39">
        <v>402300</v>
      </c>
      <c r="H67" s="39">
        <f>G67</f>
        <v>402300</v>
      </c>
      <c r="I67" s="39">
        <f t="shared" si="27"/>
        <v>402300</v>
      </c>
      <c r="J67" s="39">
        <v>1186700</v>
      </c>
      <c r="K67" s="39">
        <v>1616019.85</v>
      </c>
      <c r="L67" s="39">
        <v>3042850.26</v>
      </c>
      <c r="M67" s="12">
        <f t="shared" si="11"/>
        <v>784400</v>
      </c>
      <c r="N67" s="12">
        <f t="shared" si="12"/>
        <v>784400</v>
      </c>
      <c r="O67" s="13">
        <f t="shared" si="28"/>
        <v>429319.85000000009</v>
      </c>
      <c r="P67" s="13">
        <f t="shared" si="29"/>
        <v>1213719.8500000001</v>
      </c>
      <c r="Q67" s="40" t="s">
        <v>112</v>
      </c>
      <c r="R67" s="45" t="s">
        <v>113</v>
      </c>
      <c r="S67" s="15"/>
      <c r="T67" s="16" t="e">
        <f>#REF!-#REF!</f>
        <v>#REF!</v>
      </c>
      <c r="U67" s="45" t="s">
        <v>113</v>
      </c>
      <c r="W67" s="44"/>
      <c r="X67" s="44"/>
      <c r="AA67" s="19"/>
    </row>
    <row r="68" spans="1:27" s="33" customFormat="1" ht="18" customHeight="1" x14ac:dyDescent="0.2">
      <c r="A68" s="50" t="s">
        <v>16</v>
      </c>
      <c r="B68" s="51"/>
      <c r="C68" s="52"/>
      <c r="D68" s="26"/>
      <c r="E68" s="31" t="s">
        <v>114</v>
      </c>
      <c r="F68" s="32"/>
      <c r="G68" s="15">
        <f t="shared" ref="G68:K68" si="30">SUM(G69:G79)</f>
        <v>199600</v>
      </c>
      <c r="H68" s="15">
        <f t="shared" si="30"/>
        <v>259300</v>
      </c>
      <c r="I68" s="15">
        <f t="shared" si="30"/>
        <v>263000</v>
      </c>
      <c r="J68" s="15">
        <f t="shared" si="30"/>
        <v>263300</v>
      </c>
      <c r="K68" s="15">
        <f t="shared" si="30"/>
        <v>260055.36</v>
      </c>
      <c r="L68" s="15">
        <f>SUM(L69:L79)</f>
        <v>242006.83</v>
      </c>
      <c r="M68" s="12">
        <f t="shared" si="11"/>
        <v>300</v>
      </c>
      <c r="N68" s="12">
        <f t="shared" si="12"/>
        <v>63700</v>
      </c>
      <c r="O68" s="13">
        <f t="shared" si="28"/>
        <v>-3244.640000000014</v>
      </c>
      <c r="P68" s="13">
        <f t="shared" si="29"/>
        <v>60455.359999999986</v>
      </c>
      <c r="Q68" s="14"/>
      <c r="R68" s="14"/>
      <c r="S68" s="15"/>
      <c r="T68" s="16" t="e">
        <f>#REF!-#REF!</f>
        <v>#REF!</v>
      </c>
      <c r="U68" s="33">
        <v>488817.5</v>
      </c>
      <c r="W68" s="34"/>
      <c r="X68" s="34"/>
      <c r="AA68" s="19"/>
    </row>
    <row r="69" spans="1:27" s="43" customFormat="1" ht="18" customHeight="1" x14ac:dyDescent="0.2">
      <c r="A69" s="53" t="s">
        <v>16</v>
      </c>
      <c r="B69" s="54"/>
      <c r="C69" s="55"/>
      <c r="D69" s="25"/>
      <c r="E69" s="31"/>
      <c r="F69" s="38" t="s">
        <v>115</v>
      </c>
      <c r="G69" s="39">
        <v>91700</v>
      </c>
      <c r="H69" s="39">
        <f t="shared" ref="H69:J70" si="31">H95</f>
        <v>121000</v>
      </c>
      <c r="I69" s="39">
        <f t="shared" si="31"/>
        <v>117800</v>
      </c>
      <c r="J69" s="39">
        <f t="shared" si="31"/>
        <v>117800</v>
      </c>
      <c r="K69" s="39">
        <v>119063.36</v>
      </c>
      <c r="L69" s="39">
        <v>112916.26</v>
      </c>
      <c r="M69" s="12">
        <f t="shared" si="11"/>
        <v>0</v>
      </c>
      <c r="N69" s="12">
        <f t="shared" si="12"/>
        <v>26100</v>
      </c>
      <c r="O69" s="13">
        <f t="shared" si="28"/>
        <v>1263.3600000000006</v>
      </c>
      <c r="P69" s="13">
        <f t="shared" si="29"/>
        <v>27363.360000000001</v>
      </c>
      <c r="Q69" s="45" t="s">
        <v>116</v>
      </c>
      <c r="R69" s="45" t="s">
        <v>116</v>
      </c>
      <c r="S69" s="15"/>
      <c r="T69" s="16" t="e">
        <f>#REF!-#REF!</f>
        <v>#REF!</v>
      </c>
      <c r="U69" s="43">
        <v>179784.13</v>
      </c>
      <c r="W69" s="44"/>
      <c r="X69" s="44"/>
      <c r="AA69" s="19"/>
    </row>
    <row r="70" spans="1:27" s="43" customFormat="1" ht="18" customHeight="1" x14ac:dyDescent="0.2">
      <c r="A70" s="53" t="s">
        <v>16</v>
      </c>
      <c r="B70" s="54"/>
      <c r="C70" s="55"/>
      <c r="D70" s="25"/>
      <c r="E70" s="31"/>
      <c r="F70" s="38" t="s">
        <v>117</v>
      </c>
      <c r="G70" s="39">
        <v>70500</v>
      </c>
      <c r="H70" s="39">
        <f t="shared" si="31"/>
        <v>104700</v>
      </c>
      <c r="I70" s="39">
        <f t="shared" si="31"/>
        <v>103100</v>
      </c>
      <c r="J70" s="39">
        <f t="shared" si="31"/>
        <v>103100</v>
      </c>
      <c r="K70" s="39">
        <v>94714.06</v>
      </c>
      <c r="L70" s="39">
        <v>84172.18</v>
      </c>
      <c r="M70" s="12">
        <f t="shared" si="11"/>
        <v>0</v>
      </c>
      <c r="N70" s="12">
        <f t="shared" si="12"/>
        <v>32600</v>
      </c>
      <c r="O70" s="13">
        <f t="shared" si="28"/>
        <v>-8385.9400000000023</v>
      </c>
      <c r="P70" s="13">
        <f t="shared" si="29"/>
        <v>24214.059999999998</v>
      </c>
      <c r="Q70" s="45" t="s">
        <v>116</v>
      </c>
      <c r="R70" s="45" t="s">
        <v>116</v>
      </c>
      <c r="S70" s="15"/>
      <c r="T70" s="16" t="e">
        <f>#REF!-#REF!</f>
        <v>#REF!</v>
      </c>
      <c r="U70" s="43">
        <f>SUM(U68:U69)</f>
        <v>668601.63</v>
      </c>
      <c r="W70" s="44"/>
      <c r="X70" s="44"/>
      <c r="AA70" s="19"/>
    </row>
    <row r="71" spans="1:27" s="43" customFormat="1" ht="18" hidden="1" customHeight="1" x14ac:dyDescent="0.2">
      <c r="A71" s="53" t="s">
        <v>16</v>
      </c>
      <c r="B71" s="54"/>
      <c r="C71" s="55"/>
      <c r="D71" s="25"/>
      <c r="E71" s="31"/>
      <c r="F71" s="38" t="s">
        <v>118</v>
      </c>
      <c r="G71" s="39"/>
      <c r="H71" s="39"/>
      <c r="I71" s="39"/>
      <c r="J71" s="39"/>
      <c r="K71" s="39"/>
      <c r="L71" s="39"/>
      <c r="M71" s="12">
        <f t="shared" si="11"/>
        <v>0</v>
      </c>
      <c r="N71" s="12">
        <f t="shared" si="12"/>
        <v>0</v>
      </c>
      <c r="O71" s="13">
        <f t="shared" si="28"/>
        <v>0</v>
      </c>
      <c r="P71" s="13">
        <f t="shared" si="29"/>
        <v>0</v>
      </c>
      <c r="Q71" s="14"/>
      <c r="R71" s="14"/>
      <c r="S71" s="15"/>
      <c r="T71" s="16" t="e">
        <f>#REF!-#REF!</f>
        <v>#REF!</v>
      </c>
      <c r="W71" s="44"/>
      <c r="X71" s="44"/>
      <c r="AA71" s="19"/>
    </row>
    <row r="72" spans="1:27" s="43" customFormat="1" ht="18" customHeight="1" x14ac:dyDescent="0.2">
      <c r="A72" s="53" t="s">
        <v>16</v>
      </c>
      <c r="B72" s="54"/>
      <c r="C72" s="55"/>
      <c r="D72" s="25"/>
      <c r="E72" s="31"/>
      <c r="F72" s="38" t="s">
        <v>119</v>
      </c>
      <c r="G72" s="39">
        <v>12400</v>
      </c>
      <c r="H72" s="39">
        <v>17000</v>
      </c>
      <c r="I72" s="39">
        <f>H72</f>
        <v>17000</v>
      </c>
      <c r="J72" s="39">
        <v>21000</v>
      </c>
      <c r="K72" s="39">
        <v>18231.04</v>
      </c>
      <c r="L72" s="39">
        <v>12504.93</v>
      </c>
      <c r="M72" s="12">
        <f t="shared" si="11"/>
        <v>4000</v>
      </c>
      <c r="N72" s="12">
        <f t="shared" si="12"/>
        <v>8600</v>
      </c>
      <c r="O72" s="13">
        <f t="shared" si="28"/>
        <v>-2768.9599999999991</v>
      </c>
      <c r="P72" s="13">
        <f t="shared" si="29"/>
        <v>5831.0400000000009</v>
      </c>
      <c r="Q72" s="71" t="s">
        <v>120</v>
      </c>
      <c r="R72" s="72" t="s">
        <v>121</v>
      </c>
      <c r="S72" s="15"/>
      <c r="T72" s="16" t="e">
        <f>#REF!-#REF!</f>
        <v>#REF!</v>
      </c>
      <c r="W72" s="44"/>
      <c r="X72" s="44"/>
      <c r="AA72" s="19"/>
    </row>
    <row r="73" spans="1:27" s="43" customFormat="1" ht="18" customHeight="1" x14ac:dyDescent="0.2">
      <c r="A73" s="53" t="s">
        <v>16</v>
      </c>
      <c r="B73" s="54"/>
      <c r="C73" s="55"/>
      <c r="D73" s="25"/>
      <c r="E73" s="31"/>
      <c r="F73" s="38" t="s">
        <v>122</v>
      </c>
      <c r="G73" s="39">
        <v>8700</v>
      </c>
      <c r="H73" s="39">
        <f>FLOOR(5372.26/7*12,100)</f>
        <v>9200</v>
      </c>
      <c r="I73" s="39">
        <f>FLOOR(8534.08/10*12,100)</f>
        <v>10200</v>
      </c>
      <c r="J73" s="39">
        <f>FLOOR(9270.56/11*12,100)</f>
        <v>10100</v>
      </c>
      <c r="K73" s="39">
        <v>10577.82</v>
      </c>
      <c r="L73" s="39">
        <v>8569.57</v>
      </c>
      <c r="M73" s="12">
        <f t="shared" si="11"/>
        <v>-100</v>
      </c>
      <c r="N73" s="12">
        <f t="shared" si="12"/>
        <v>1400</v>
      </c>
      <c r="O73" s="13">
        <f t="shared" si="28"/>
        <v>477.81999999999971</v>
      </c>
      <c r="P73" s="13">
        <f t="shared" si="29"/>
        <v>1877.8199999999997</v>
      </c>
      <c r="Q73" s="46"/>
      <c r="R73" s="45" t="s">
        <v>41</v>
      </c>
      <c r="S73" s="15"/>
      <c r="T73" s="16" t="e">
        <f>#REF!-#REF!</f>
        <v>#REF!</v>
      </c>
      <c r="W73" s="44"/>
      <c r="X73" s="44"/>
      <c r="AA73" s="19"/>
    </row>
    <row r="74" spans="1:27" s="43" customFormat="1" ht="18" customHeight="1" x14ac:dyDescent="0.2">
      <c r="A74" s="53" t="s">
        <v>16</v>
      </c>
      <c r="B74" s="54"/>
      <c r="C74" s="55"/>
      <c r="D74" s="25"/>
      <c r="E74" s="31"/>
      <c r="F74" s="38" t="s">
        <v>123</v>
      </c>
      <c r="G74" s="39">
        <v>1300</v>
      </c>
      <c r="H74" s="39">
        <f>FLOOR(477.36*2,100)</f>
        <v>900</v>
      </c>
      <c r="I74" s="39">
        <f>FLOOR((477.36+83.25+67.45+78.07+84.67)/10*12,100)</f>
        <v>900</v>
      </c>
      <c r="J74" s="39">
        <f>FLOOR((477.36+83.25+67.45+78.07+84.67)/10*12,100)</f>
        <v>900</v>
      </c>
      <c r="K74" s="39">
        <v>933.74</v>
      </c>
      <c r="L74" s="39">
        <v>667.71</v>
      </c>
      <c r="M74" s="12">
        <f t="shared" si="11"/>
        <v>0</v>
      </c>
      <c r="N74" s="12">
        <f t="shared" si="12"/>
        <v>-400</v>
      </c>
      <c r="O74" s="13">
        <f t="shared" si="28"/>
        <v>33.740000000000009</v>
      </c>
      <c r="P74" s="13">
        <f t="shared" si="29"/>
        <v>-366.26</v>
      </c>
      <c r="Q74" s="46"/>
      <c r="R74" s="45" t="s">
        <v>124</v>
      </c>
      <c r="S74" s="15"/>
      <c r="T74" s="16" t="e">
        <f>#REF!-#REF!</f>
        <v>#REF!</v>
      </c>
      <c r="W74" s="44"/>
      <c r="X74" s="44"/>
      <c r="AA74" s="19"/>
    </row>
    <row r="75" spans="1:27" s="43" customFormat="1" ht="18" hidden="1" customHeight="1" x14ac:dyDescent="0.2">
      <c r="A75" s="53" t="s">
        <v>16</v>
      </c>
      <c r="B75" s="54"/>
      <c r="C75" s="55"/>
      <c r="D75" s="25"/>
      <c r="E75" s="31"/>
      <c r="F75" s="38" t="s">
        <v>125</v>
      </c>
      <c r="G75" s="39"/>
      <c r="H75" s="39"/>
      <c r="I75" s="39">
        <f t="shared" ref="I75:I78" si="32">H75</f>
        <v>0</v>
      </c>
      <c r="J75" s="39"/>
      <c r="K75" s="39"/>
      <c r="L75" s="39"/>
      <c r="M75" s="12">
        <f t="shared" si="11"/>
        <v>0</v>
      </c>
      <c r="N75" s="12">
        <f t="shared" si="12"/>
        <v>0</v>
      </c>
      <c r="O75" s="13">
        <f t="shared" si="28"/>
        <v>0</v>
      </c>
      <c r="P75" s="13">
        <f t="shared" si="29"/>
        <v>0</v>
      </c>
      <c r="Q75" s="14"/>
      <c r="R75" s="14"/>
      <c r="S75" s="15"/>
      <c r="T75" s="16" t="e">
        <f>#REF!-#REF!</f>
        <v>#REF!</v>
      </c>
      <c r="W75" s="44"/>
      <c r="X75" s="44"/>
      <c r="AA75" s="19"/>
    </row>
    <row r="76" spans="1:27" s="43" customFormat="1" ht="18" hidden="1" customHeight="1" x14ac:dyDescent="0.2">
      <c r="A76" s="53" t="s">
        <v>16</v>
      </c>
      <c r="B76" s="54"/>
      <c r="C76" s="55"/>
      <c r="D76" s="25"/>
      <c r="E76" s="31"/>
      <c r="F76" s="38" t="s">
        <v>126</v>
      </c>
      <c r="G76" s="39"/>
      <c r="H76" s="39"/>
      <c r="I76" s="39">
        <f t="shared" si="32"/>
        <v>0</v>
      </c>
      <c r="J76" s="39"/>
      <c r="K76" s="39"/>
      <c r="L76" s="39"/>
      <c r="M76" s="12">
        <f t="shared" si="11"/>
        <v>0</v>
      </c>
      <c r="N76" s="12">
        <f t="shared" si="12"/>
        <v>0</v>
      </c>
      <c r="O76" s="13">
        <f t="shared" si="28"/>
        <v>0</v>
      </c>
      <c r="P76" s="13">
        <f t="shared" si="29"/>
        <v>0</v>
      </c>
      <c r="Q76" s="14"/>
      <c r="R76" s="14"/>
      <c r="S76" s="15"/>
      <c r="T76" s="16" t="e">
        <f>#REF!-#REF!</f>
        <v>#REF!</v>
      </c>
      <c r="W76" s="44"/>
      <c r="X76" s="44"/>
      <c r="AA76" s="19"/>
    </row>
    <row r="77" spans="1:27" s="43" customFormat="1" ht="18" customHeight="1" x14ac:dyDescent="0.2">
      <c r="A77" s="53"/>
      <c r="B77" s="54"/>
      <c r="C77" s="55"/>
      <c r="D77" s="25"/>
      <c r="E77" s="31"/>
      <c r="F77" s="38" t="s">
        <v>127</v>
      </c>
      <c r="G77" s="39">
        <v>0</v>
      </c>
      <c r="H77" s="39">
        <v>500</v>
      </c>
      <c r="I77" s="39">
        <f t="shared" si="32"/>
        <v>500</v>
      </c>
      <c r="J77" s="39">
        <f>I77</f>
        <v>500</v>
      </c>
      <c r="K77" s="39">
        <v>528.63</v>
      </c>
      <c r="L77" s="39">
        <v>4133</v>
      </c>
      <c r="M77" s="12">
        <f t="shared" si="11"/>
        <v>0</v>
      </c>
      <c r="N77" s="12">
        <f t="shared" si="12"/>
        <v>500</v>
      </c>
      <c r="O77" s="13">
        <f t="shared" si="28"/>
        <v>28.629999999999995</v>
      </c>
      <c r="P77" s="13">
        <f t="shared" si="29"/>
        <v>528.63</v>
      </c>
      <c r="Q77" s="45" t="s">
        <v>128</v>
      </c>
      <c r="R77" s="45" t="s">
        <v>129</v>
      </c>
      <c r="S77" s="15"/>
      <c r="T77" s="16" t="e">
        <f>#REF!-#REF!</f>
        <v>#REF!</v>
      </c>
      <c r="W77" s="44"/>
      <c r="X77" s="44"/>
      <c r="AA77" s="19"/>
    </row>
    <row r="78" spans="1:27" s="43" customFormat="1" ht="18" customHeight="1" x14ac:dyDescent="0.2">
      <c r="A78" s="53"/>
      <c r="B78" s="54"/>
      <c r="C78" s="55"/>
      <c r="D78" s="25"/>
      <c r="E78" s="31"/>
      <c r="F78" s="38" t="s">
        <v>130</v>
      </c>
      <c r="G78" s="39">
        <v>7500</v>
      </c>
      <c r="H78" s="39">
        <v>6000</v>
      </c>
      <c r="I78" s="39">
        <f t="shared" si="32"/>
        <v>6000</v>
      </c>
      <c r="J78" s="39">
        <f>FLOOR(5346/11*12,100)</f>
        <v>5800</v>
      </c>
      <c r="K78" s="39">
        <v>5824</v>
      </c>
      <c r="L78" s="39">
        <v>6192</v>
      </c>
      <c r="M78" s="12">
        <f t="shared" si="11"/>
        <v>-200</v>
      </c>
      <c r="N78" s="12">
        <f t="shared" si="12"/>
        <v>-1700</v>
      </c>
      <c r="O78" s="13">
        <f t="shared" si="28"/>
        <v>24</v>
      </c>
      <c r="P78" s="13">
        <f t="shared" si="29"/>
        <v>-1676</v>
      </c>
      <c r="Q78" s="46"/>
      <c r="R78" s="45" t="s">
        <v>41</v>
      </c>
      <c r="S78" s="15"/>
      <c r="T78" s="16" t="e">
        <f>#REF!-#REF!</f>
        <v>#REF!</v>
      </c>
      <c r="W78" s="44"/>
      <c r="X78" s="44"/>
      <c r="AA78" s="19"/>
    </row>
    <row r="79" spans="1:27" s="43" customFormat="1" ht="18" customHeight="1" x14ac:dyDescent="0.2">
      <c r="A79" s="53"/>
      <c r="B79" s="54"/>
      <c r="C79" s="55"/>
      <c r="D79" s="25"/>
      <c r="E79" s="31"/>
      <c r="F79" s="38" t="s">
        <v>131</v>
      </c>
      <c r="G79" s="39">
        <v>7500</v>
      </c>
      <c r="H79" s="39">
        <f>H219</f>
        <v>0</v>
      </c>
      <c r="I79" s="39">
        <v>7500</v>
      </c>
      <c r="J79" s="39">
        <f>J218</f>
        <v>4100</v>
      </c>
      <c r="K79" s="39">
        <v>10182.709999999999</v>
      </c>
      <c r="L79" s="39">
        <v>12851.18</v>
      </c>
      <c r="M79" s="12">
        <f t="shared" ref="M79:M128" si="33">J79-I79</f>
        <v>-3400</v>
      </c>
      <c r="N79" s="12">
        <f t="shared" ref="N79:N128" si="34">J79-G79</f>
        <v>-3400</v>
      </c>
      <c r="O79" s="13">
        <f t="shared" si="28"/>
        <v>6082.7099999999991</v>
      </c>
      <c r="P79" s="13">
        <f t="shared" si="29"/>
        <v>2682.7099999999991</v>
      </c>
      <c r="Q79" s="45" t="s">
        <v>132</v>
      </c>
      <c r="R79" s="45" t="s">
        <v>133</v>
      </c>
      <c r="S79" s="15"/>
      <c r="T79" s="16" t="e">
        <f>#REF!-#REF!</f>
        <v>#REF!</v>
      </c>
      <c r="W79" s="44"/>
      <c r="X79" s="44"/>
      <c r="AA79" s="19"/>
    </row>
    <row r="80" spans="1:27" s="33" customFormat="1" ht="18" customHeight="1" x14ac:dyDescent="0.2">
      <c r="A80" s="50" t="s">
        <v>16</v>
      </c>
      <c r="B80" s="51"/>
      <c r="C80" s="52"/>
      <c r="D80" s="26"/>
      <c r="E80" s="31" t="s">
        <v>134</v>
      </c>
      <c r="F80" s="32"/>
      <c r="G80" s="15">
        <f t="shared" ref="G80:K80" si="35">SUM(G81:G86)</f>
        <v>6500</v>
      </c>
      <c r="H80" s="15">
        <f t="shared" si="35"/>
        <v>14086.18</v>
      </c>
      <c r="I80" s="15">
        <f t="shared" si="35"/>
        <v>41596.160000000003</v>
      </c>
      <c r="J80" s="15">
        <f t="shared" si="35"/>
        <v>39085.97</v>
      </c>
      <c r="K80" s="15">
        <f t="shared" si="35"/>
        <v>43085.14</v>
      </c>
      <c r="L80" s="15">
        <f>SUM(L81:L86)</f>
        <v>7716.3600000000006</v>
      </c>
      <c r="M80" s="12">
        <f t="shared" si="33"/>
        <v>-2510.1900000000023</v>
      </c>
      <c r="N80" s="12">
        <f t="shared" si="34"/>
        <v>32585.97</v>
      </c>
      <c r="O80" s="13">
        <f t="shared" si="28"/>
        <v>3999.1699999999983</v>
      </c>
      <c r="P80" s="13">
        <f t="shared" si="29"/>
        <v>36585.14</v>
      </c>
      <c r="Q80" s="14"/>
      <c r="R80" s="14"/>
      <c r="S80" s="15"/>
      <c r="T80" s="16" t="e">
        <f>#REF!-#REF!</f>
        <v>#REF!</v>
      </c>
      <c r="W80" s="34"/>
      <c r="X80" s="34"/>
      <c r="AA80" s="19"/>
    </row>
    <row r="81" spans="1:27" s="43" customFormat="1" ht="18" customHeight="1" x14ac:dyDescent="0.2">
      <c r="A81" s="53" t="s">
        <v>16</v>
      </c>
      <c r="B81" s="54"/>
      <c r="C81" s="55"/>
      <c r="D81" s="25"/>
      <c r="E81" s="31"/>
      <c r="F81" s="38" t="s">
        <v>135</v>
      </c>
      <c r="G81" s="39">
        <v>1600</v>
      </c>
      <c r="H81" s="39">
        <v>400</v>
      </c>
      <c r="I81" s="39">
        <v>790</v>
      </c>
      <c r="J81" s="39">
        <v>845</v>
      </c>
      <c r="K81" s="39">
        <v>850</v>
      </c>
      <c r="L81" s="39">
        <v>1285</v>
      </c>
      <c r="M81" s="12">
        <f t="shared" si="33"/>
        <v>55</v>
      </c>
      <c r="N81" s="12">
        <f t="shared" si="34"/>
        <v>-755</v>
      </c>
      <c r="O81" s="13">
        <f t="shared" si="28"/>
        <v>5</v>
      </c>
      <c r="P81" s="13">
        <f t="shared" si="29"/>
        <v>-750</v>
      </c>
      <c r="Q81" s="14"/>
      <c r="R81" s="45" t="s">
        <v>136</v>
      </c>
      <c r="S81" s="15"/>
      <c r="T81" s="16" t="e">
        <f>#REF!-#REF!</f>
        <v>#REF!</v>
      </c>
      <c r="W81" s="44"/>
      <c r="X81" s="44"/>
      <c r="AA81" s="19"/>
    </row>
    <row r="82" spans="1:27" s="43" customFormat="1" ht="18" customHeight="1" x14ac:dyDescent="0.2">
      <c r="A82" s="53" t="s">
        <v>16</v>
      </c>
      <c r="B82" s="54"/>
      <c r="C82" s="55"/>
      <c r="D82" s="25"/>
      <c r="E82" s="31"/>
      <c r="F82" s="38" t="s">
        <v>134</v>
      </c>
      <c r="G82" s="39">
        <v>4900</v>
      </c>
      <c r="H82" s="39">
        <f>G82</f>
        <v>4900</v>
      </c>
      <c r="I82" s="39">
        <f t="shared" ref="I82:I86" si="36">H82</f>
        <v>4900</v>
      </c>
      <c r="J82" s="39">
        <v>2300</v>
      </c>
      <c r="K82" s="39">
        <v>2450</v>
      </c>
      <c r="L82" s="39">
        <f>5350+275</f>
        <v>5625</v>
      </c>
      <c r="M82" s="12">
        <f t="shared" si="33"/>
        <v>-2600</v>
      </c>
      <c r="N82" s="12">
        <f t="shared" si="34"/>
        <v>-2600</v>
      </c>
      <c r="O82" s="13">
        <f t="shared" si="28"/>
        <v>150</v>
      </c>
      <c r="P82" s="13">
        <f t="shared" si="29"/>
        <v>-2450</v>
      </c>
      <c r="Q82" s="45" t="s">
        <v>137</v>
      </c>
      <c r="R82" s="45" t="s">
        <v>138</v>
      </c>
      <c r="S82" s="15"/>
      <c r="T82" s="16" t="e">
        <f>#REF!-#REF!</f>
        <v>#REF!</v>
      </c>
      <c r="W82" s="44"/>
      <c r="X82" s="44"/>
      <c r="AA82" s="19"/>
    </row>
    <row r="83" spans="1:27" s="43" customFormat="1" ht="18" customHeight="1" x14ac:dyDescent="0.2">
      <c r="A83" s="53" t="s">
        <v>16</v>
      </c>
      <c r="B83" s="54"/>
      <c r="C83" s="55"/>
      <c r="D83" s="25"/>
      <c r="E83" s="31"/>
      <c r="F83" s="38" t="s">
        <v>139</v>
      </c>
      <c r="G83" s="39">
        <v>0</v>
      </c>
      <c r="H83" s="39">
        <v>1.94</v>
      </c>
      <c r="I83" s="39">
        <v>4.8</v>
      </c>
      <c r="J83" s="39">
        <v>5.59</v>
      </c>
      <c r="K83" s="39">
        <v>5.59</v>
      </c>
      <c r="L83" s="39">
        <v>11.18</v>
      </c>
      <c r="M83" s="12">
        <f t="shared" si="33"/>
        <v>0.79</v>
      </c>
      <c r="N83" s="12">
        <f t="shared" si="34"/>
        <v>5.59</v>
      </c>
      <c r="O83" s="13">
        <f t="shared" si="28"/>
        <v>0</v>
      </c>
      <c r="P83" s="13">
        <f t="shared" si="29"/>
        <v>5.59</v>
      </c>
      <c r="Q83" s="46"/>
      <c r="R83" s="45" t="s">
        <v>41</v>
      </c>
      <c r="S83" s="15"/>
      <c r="T83" s="16" t="e">
        <f>#REF!-#REF!</f>
        <v>#REF!</v>
      </c>
      <c r="W83" s="44"/>
      <c r="X83" s="44"/>
      <c r="AA83" s="19"/>
    </row>
    <row r="84" spans="1:27" s="43" customFormat="1" ht="18" hidden="1" customHeight="1" x14ac:dyDescent="0.2">
      <c r="A84" s="53" t="s">
        <v>16</v>
      </c>
      <c r="B84" s="54"/>
      <c r="C84" s="55"/>
      <c r="D84" s="25"/>
      <c r="E84" s="31"/>
      <c r="F84" s="38" t="s">
        <v>140</v>
      </c>
      <c r="G84" s="39"/>
      <c r="H84" s="39"/>
      <c r="I84" s="39">
        <f t="shared" si="36"/>
        <v>0</v>
      </c>
      <c r="J84" s="39"/>
      <c r="K84" s="39"/>
      <c r="L84" s="39"/>
      <c r="M84" s="12">
        <f t="shared" si="33"/>
        <v>0</v>
      </c>
      <c r="N84" s="12">
        <f t="shared" si="34"/>
        <v>0</v>
      </c>
      <c r="O84" s="13">
        <f t="shared" si="28"/>
        <v>0</v>
      </c>
      <c r="P84" s="13">
        <f t="shared" si="29"/>
        <v>0</v>
      </c>
      <c r="Q84" s="14"/>
      <c r="R84" s="14"/>
      <c r="S84" s="15"/>
      <c r="T84" s="16" t="e">
        <f>#REF!-#REF!</f>
        <v>#REF!</v>
      </c>
      <c r="W84" s="44"/>
      <c r="X84" s="44"/>
      <c r="AA84" s="19"/>
    </row>
    <row r="85" spans="1:27" s="43" customFormat="1" ht="21" customHeight="1" x14ac:dyDescent="0.2">
      <c r="A85" s="53" t="s">
        <v>16</v>
      </c>
      <c r="B85" s="54"/>
      <c r="C85" s="55"/>
      <c r="D85" s="25"/>
      <c r="E85" s="31"/>
      <c r="F85" s="38" t="s">
        <v>141</v>
      </c>
      <c r="G85" s="39">
        <v>0</v>
      </c>
      <c r="H85" s="39">
        <v>8784.24</v>
      </c>
      <c r="I85" s="39">
        <v>35901.360000000001</v>
      </c>
      <c r="J85" s="39">
        <v>35935.379999999997</v>
      </c>
      <c r="K85" s="39">
        <v>39779.550000000003</v>
      </c>
      <c r="L85" s="39">
        <v>743.62</v>
      </c>
      <c r="M85" s="12">
        <f t="shared" si="33"/>
        <v>34.019999999996799</v>
      </c>
      <c r="N85" s="12">
        <f t="shared" si="34"/>
        <v>35935.379999999997</v>
      </c>
      <c r="O85" s="13">
        <f t="shared" si="28"/>
        <v>3844.1700000000055</v>
      </c>
      <c r="P85" s="13">
        <f t="shared" si="29"/>
        <v>39779.550000000003</v>
      </c>
      <c r="Q85" s="73" t="s">
        <v>142</v>
      </c>
      <c r="R85" s="45" t="s">
        <v>136</v>
      </c>
      <c r="S85" s="15"/>
      <c r="T85" s="16" t="e">
        <f>#REF!-#REF!</f>
        <v>#REF!</v>
      </c>
      <c r="W85" s="44"/>
      <c r="X85" s="44"/>
      <c r="AA85" s="19"/>
    </row>
    <row r="86" spans="1:27" s="43" customFormat="1" ht="18" customHeight="1" x14ac:dyDescent="0.2">
      <c r="A86" s="53" t="s">
        <v>16</v>
      </c>
      <c r="B86" s="54"/>
      <c r="C86" s="55"/>
      <c r="D86" s="25"/>
      <c r="E86" s="31"/>
      <c r="F86" s="38" t="s">
        <v>143</v>
      </c>
      <c r="G86" s="74">
        <v>0</v>
      </c>
      <c r="H86" s="74">
        <v>0</v>
      </c>
      <c r="I86" s="75">
        <f t="shared" si="36"/>
        <v>0</v>
      </c>
      <c r="J86" s="75">
        <f>I86</f>
        <v>0</v>
      </c>
      <c r="K86" s="39">
        <v>0</v>
      </c>
      <c r="L86" s="39">
        <v>51.56</v>
      </c>
      <c r="M86" s="12">
        <f t="shared" si="33"/>
        <v>0</v>
      </c>
      <c r="N86" s="12">
        <f t="shared" si="34"/>
        <v>0</v>
      </c>
      <c r="O86" s="13">
        <f t="shared" si="28"/>
        <v>0</v>
      </c>
      <c r="P86" s="13">
        <f t="shared" si="29"/>
        <v>0</v>
      </c>
      <c r="Q86" s="14"/>
      <c r="R86" s="45" t="s">
        <v>136</v>
      </c>
      <c r="S86" s="15"/>
      <c r="T86" s="16" t="e">
        <f>#REF!-#REF!</f>
        <v>#REF!</v>
      </c>
      <c r="W86" s="44"/>
      <c r="X86" s="44"/>
      <c r="AA86" s="19"/>
    </row>
    <row r="87" spans="1:27" s="17" customFormat="1" ht="18" customHeight="1" x14ac:dyDescent="0.2">
      <c r="A87" s="9" t="s">
        <v>16</v>
      </c>
      <c r="B87" s="76" t="s">
        <v>144</v>
      </c>
      <c r="C87" s="63"/>
      <c r="D87" s="63"/>
      <c r="E87" s="66"/>
      <c r="F87" s="22"/>
      <c r="G87" s="11">
        <f>G88+G132+G220+G227+G255+G285+G306</f>
        <v>14147300</v>
      </c>
      <c r="H87" s="11">
        <f t="shared" ref="H87:K87" si="37">H88+H132+H220+H227+H255+H285+H306</f>
        <v>14344572.130000001</v>
      </c>
      <c r="I87" s="11">
        <f t="shared" si="37"/>
        <v>14432065.960000001</v>
      </c>
      <c r="J87" s="11">
        <f t="shared" si="37"/>
        <v>15076060.33</v>
      </c>
      <c r="K87" s="11">
        <f t="shared" si="37"/>
        <v>15353657.9</v>
      </c>
      <c r="L87" s="11">
        <f>L88+L132+L220+L227+L255+L285+L306</f>
        <v>15026480.419999998</v>
      </c>
      <c r="M87" s="12">
        <f t="shared" si="33"/>
        <v>643994.36999999918</v>
      </c>
      <c r="N87" s="12">
        <f t="shared" si="34"/>
        <v>928760.33000000007</v>
      </c>
      <c r="O87" s="13">
        <f t="shared" si="28"/>
        <v>277597.5700000003</v>
      </c>
      <c r="P87" s="13">
        <f t="shared" si="29"/>
        <v>1206357.9000000004</v>
      </c>
      <c r="Q87" s="14"/>
      <c r="R87" s="14"/>
      <c r="S87" s="15"/>
      <c r="T87" s="16" t="e">
        <f>#REF!-#REF!</f>
        <v>#REF!</v>
      </c>
      <c r="W87" s="18"/>
      <c r="X87" s="18"/>
      <c r="AA87" s="19"/>
    </row>
    <row r="88" spans="1:27" s="17" customFormat="1" ht="18" customHeight="1" x14ac:dyDescent="0.2">
      <c r="A88" s="20" t="s">
        <v>16</v>
      </c>
      <c r="B88" s="21"/>
      <c r="C88" s="63" t="s">
        <v>145</v>
      </c>
      <c r="D88" s="63"/>
      <c r="E88" s="66"/>
      <c r="F88" s="22"/>
      <c r="G88" s="11">
        <f t="shared" ref="G88:K88" si="38">G89+G113</f>
        <v>1077200</v>
      </c>
      <c r="H88" s="11">
        <f t="shared" si="38"/>
        <v>1202700</v>
      </c>
      <c r="I88" s="11">
        <f t="shared" si="38"/>
        <v>1204000</v>
      </c>
      <c r="J88" s="11">
        <f t="shared" si="38"/>
        <v>1164500</v>
      </c>
      <c r="K88" s="11">
        <f t="shared" si="38"/>
        <v>1159369.3600000001</v>
      </c>
      <c r="L88" s="11">
        <f>L89+L113</f>
        <v>1137953.05</v>
      </c>
      <c r="M88" s="12">
        <f t="shared" si="33"/>
        <v>-39500</v>
      </c>
      <c r="N88" s="12">
        <f t="shared" si="34"/>
        <v>87300</v>
      </c>
      <c r="O88" s="13">
        <f t="shared" si="28"/>
        <v>-5130.6399999998976</v>
      </c>
      <c r="P88" s="13">
        <f t="shared" si="29"/>
        <v>82169.360000000102</v>
      </c>
      <c r="Q88" s="14"/>
      <c r="R88" s="14"/>
      <c r="S88" s="15"/>
      <c r="T88" s="16" t="e">
        <f>#REF!-#REF!</f>
        <v>#REF!</v>
      </c>
      <c r="W88" s="18"/>
      <c r="X88" s="18"/>
      <c r="AA88" s="19"/>
    </row>
    <row r="89" spans="1:27" s="17" customFormat="1" ht="18" customHeight="1" x14ac:dyDescent="0.2">
      <c r="A89" s="20" t="s">
        <v>16</v>
      </c>
      <c r="B89" s="48"/>
      <c r="C89" s="49"/>
      <c r="D89" s="49" t="s">
        <v>146</v>
      </c>
      <c r="E89" s="57"/>
      <c r="F89" s="58"/>
      <c r="G89" s="28">
        <f t="shared" ref="G89:K89" si="39">G90+G98+G105</f>
        <v>1066200</v>
      </c>
      <c r="H89" s="28">
        <f t="shared" si="39"/>
        <v>1191700</v>
      </c>
      <c r="I89" s="28">
        <f t="shared" si="39"/>
        <v>1193000</v>
      </c>
      <c r="J89" s="28">
        <f t="shared" si="39"/>
        <v>1153500</v>
      </c>
      <c r="K89" s="28">
        <f t="shared" si="39"/>
        <v>1155125.01</v>
      </c>
      <c r="L89" s="28">
        <f>L90+L98+L105</f>
        <v>1091836.57</v>
      </c>
      <c r="M89" s="12">
        <f t="shared" si="33"/>
        <v>-39500</v>
      </c>
      <c r="N89" s="12">
        <f t="shared" si="34"/>
        <v>87300</v>
      </c>
      <c r="O89" s="13">
        <f t="shared" si="28"/>
        <v>1625.0100000000093</v>
      </c>
      <c r="P89" s="13">
        <f t="shared" si="29"/>
        <v>88925.010000000009</v>
      </c>
      <c r="Q89" s="14"/>
      <c r="R89" s="14"/>
      <c r="S89" s="15"/>
      <c r="T89" s="16" t="e">
        <f>#REF!-#REF!</f>
        <v>#REF!</v>
      </c>
      <c r="W89" s="18"/>
      <c r="X89" s="18"/>
      <c r="AA89" s="19"/>
    </row>
    <row r="90" spans="1:27" s="33" customFormat="1" ht="18" customHeight="1" x14ac:dyDescent="0.2">
      <c r="A90" s="50" t="s">
        <v>16</v>
      </c>
      <c r="B90" s="51"/>
      <c r="C90" s="52"/>
      <c r="D90" s="57"/>
      <c r="E90" s="31" t="s">
        <v>147</v>
      </c>
      <c r="F90" s="32"/>
      <c r="G90" s="15">
        <f t="shared" ref="G90:K90" si="40">SUM(G91:G97)</f>
        <v>325600</v>
      </c>
      <c r="H90" s="15">
        <f t="shared" si="40"/>
        <v>410200</v>
      </c>
      <c r="I90" s="15">
        <f t="shared" si="40"/>
        <v>420300</v>
      </c>
      <c r="J90" s="15">
        <f t="shared" si="40"/>
        <v>390500</v>
      </c>
      <c r="K90" s="15">
        <f t="shared" si="40"/>
        <v>387516.45</v>
      </c>
      <c r="L90" s="15">
        <f>SUM(L91:L97)</f>
        <v>354005.87</v>
      </c>
      <c r="M90" s="12">
        <f t="shared" si="33"/>
        <v>-29800</v>
      </c>
      <c r="N90" s="12">
        <f t="shared" si="34"/>
        <v>64900</v>
      </c>
      <c r="O90" s="13">
        <f t="shared" si="28"/>
        <v>-2983.5499999999884</v>
      </c>
      <c r="P90" s="13">
        <f t="shared" si="29"/>
        <v>61916.450000000012</v>
      </c>
      <c r="Q90" s="14"/>
      <c r="R90" s="14"/>
      <c r="S90" s="15"/>
      <c r="T90" s="16" t="e">
        <f>#REF!-#REF!</f>
        <v>#REF!</v>
      </c>
      <c r="W90" s="34"/>
      <c r="X90" s="34"/>
      <c r="AA90" s="19"/>
    </row>
    <row r="91" spans="1:27" s="43" customFormat="1" ht="18" customHeight="1" x14ac:dyDescent="0.2">
      <c r="A91" s="53" t="s">
        <v>16</v>
      </c>
      <c r="B91" s="54"/>
      <c r="C91" s="55"/>
      <c r="D91" s="49"/>
      <c r="E91" s="31"/>
      <c r="F91" s="38" t="s">
        <v>148</v>
      </c>
      <c r="G91" s="39">
        <v>15300</v>
      </c>
      <c r="H91" s="39">
        <f>CEILING(7936.1/7*12,100)</f>
        <v>13700</v>
      </c>
      <c r="I91" s="39">
        <f>CEILING(12035.68/10*12,100)</f>
        <v>14500</v>
      </c>
      <c r="J91" s="39">
        <f>CEILING(14039.71/11*12,100)</f>
        <v>15400</v>
      </c>
      <c r="K91" s="39">
        <v>15617.1</v>
      </c>
      <c r="L91" s="39">
        <v>14565.61</v>
      </c>
      <c r="M91" s="12">
        <f t="shared" si="33"/>
        <v>900</v>
      </c>
      <c r="N91" s="12">
        <f t="shared" si="34"/>
        <v>100</v>
      </c>
      <c r="O91" s="13">
        <f t="shared" si="28"/>
        <v>217.10000000000036</v>
      </c>
      <c r="P91" s="13">
        <f t="shared" si="29"/>
        <v>317.10000000000036</v>
      </c>
      <c r="Q91" s="46"/>
      <c r="R91" s="45" t="s">
        <v>41</v>
      </c>
      <c r="S91" s="15"/>
      <c r="T91" s="16" t="e">
        <f>#REF!-#REF!</f>
        <v>#REF!</v>
      </c>
      <c r="W91" s="44"/>
      <c r="X91" s="44"/>
      <c r="AA91" s="19"/>
    </row>
    <row r="92" spans="1:27" s="43" customFormat="1" ht="18" customHeight="1" x14ac:dyDescent="0.2">
      <c r="A92" s="53" t="s">
        <v>16</v>
      </c>
      <c r="B92" s="54"/>
      <c r="C92" s="55"/>
      <c r="D92" s="49"/>
      <c r="E92" s="31"/>
      <c r="F92" s="38" t="s">
        <v>149</v>
      </c>
      <c r="G92" s="39">
        <v>89700</v>
      </c>
      <c r="H92" s="39">
        <f>CEILING((72671.33+454.77)/8*12,100)</f>
        <v>109700</v>
      </c>
      <c r="I92" s="39">
        <f>CEILING(98713.04/10*12,100)</f>
        <v>118500</v>
      </c>
      <c r="J92" s="39">
        <v>105700</v>
      </c>
      <c r="K92" s="39">
        <v>113724.44</v>
      </c>
      <c r="L92" s="39">
        <v>103383.26</v>
      </c>
      <c r="M92" s="12">
        <f t="shared" si="33"/>
        <v>-12800</v>
      </c>
      <c r="N92" s="12">
        <f t="shared" si="34"/>
        <v>16000</v>
      </c>
      <c r="O92" s="13">
        <f t="shared" si="28"/>
        <v>8024.4400000000023</v>
      </c>
      <c r="P92" s="13">
        <f t="shared" si="29"/>
        <v>24024.440000000002</v>
      </c>
      <c r="Q92" s="47" t="s">
        <v>150</v>
      </c>
      <c r="R92" s="45" t="s">
        <v>151</v>
      </c>
      <c r="S92" s="15"/>
      <c r="T92" s="16" t="e">
        <f>#REF!-#REF!</f>
        <v>#REF!</v>
      </c>
      <c r="W92" s="44"/>
      <c r="X92" s="44"/>
      <c r="AA92" s="19"/>
    </row>
    <row r="93" spans="1:27" s="43" customFormat="1" ht="18" customHeight="1" x14ac:dyDescent="0.2">
      <c r="A93" s="53" t="s">
        <v>16</v>
      </c>
      <c r="B93" s="54"/>
      <c r="C93" s="55"/>
      <c r="D93" s="49"/>
      <c r="E93" s="31"/>
      <c r="F93" s="38" t="s">
        <v>152</v>
      </c>
      <c r="G93" s="39">
        <v>42000</v>
      </c>
      <c r="H93" s="39">
        <v>44500</v>
      </c>
      <c r="I93" s="39">
        <f>H93+1900</f>
        <v>46400</v>
      </c>
      <c r="J93" s="39">
        <f>CEILING(41782.52/11*12,100)</f>
        <v>45600</v>
      </c>
      <c r="K93" s="39">
        <v>41782.519999999997</v>
      </c>
      <c r="L93" s="39">
        <v>37650.629999999997</v>
      </c>
      <c r="M93" s="12">
        <f t="shared" si="33"/>
        <v>-800</v>
      </c>
      <c r="N93" s="12">
        <f t="shared" si="34"/>
        <v>3600</v>
      </c>
      <c r="O93" s="13">
        <f t="shared" si="28"/>
        <v>-3817.4800000000032</v>
      </c>
      <c r="P93" s="13">
        <f t="shared" si="29"/>
        <v>-217.4800000000032</v>
      </c>
      <c r="Q93" s="47" t="s">
        <v>153</v>
      </c>
      <c r="R93" s="45" t="s">
        <v>154</v>
      </c>
      <c r="S93" s="15"/>
      <c r="T93" s="16" t="e">
        <f>#REF!-#REF!</f>
        <v>#REF!</v>
      </c>
      <c r="W93" s="44"/>
      <c r="X93" s="44"/>
      <c r="AA93" s="19"/>
    </row>
    <row r="94" spans="1:27" s="43" customFormat="1" ht="18" customHeight="1" x14ac:dyDescent="0.2">
      <c r="A94" s="53" t="s">
        <v>16</v>
      </c>
      <c r="B94" s="54"/>
      <c r="C94" s="55"/>
      <c r="D94" s="49"/>
      <c r="E94" s="31"/>
      <c r="F94" s="38" t="s">
        <v>155</v>
      </c>
      <c r="G94" s="39">
        <v>1100</v>
      </c>
      <c r="H94" s="39">
        <f>CEILING(748.33/7*12,100)</f>
        <v>1300</v>
      </c>
      <c r="I94" s="39">
        <f>CEILING(4060.67/10.5*12,100)</f>
        <v>4700</v>
      </c>
      <c r="J94" s="39">
        <f>CEILING(2614.97/11*12,100)</f>
        <v>2900</v>
      </c>
      <c r="K94" s="39">
        <v>2614.9699999999998</v>
      </c>
      <c r="L94" s="39">
        <v>263.73</v>
      </c>
      <c r="M94" s="12">
        <f t="shared" si="33"/>
        <v>-1800</v>
      </c>
      <c r="N94" s="12">
        <f t="shared" si="34"/>
        <v>1800</v>
      </c>
      <c r="O94" s="13">
        <f t="shared" si="28"/>
        <v>-285.0300000000002</v>
      </c>
      <c r="P94" s="13">
        <f t="shared" si="29"/>
        <v>1514.9699999999998</v>
      </c>
      <c r="Q94" s="46"/>
      <c r="R94" s="45" t="s">
        <v>133</v>
      </c>
      <c r="S94" s="15"/>
      <c r="T94" s="16" t="e">
        <f>#REF!-#REF!</f>
        <v>#REF!</v>
      </c>
      <c r="W94" s="44"/>
      <c r="X94" s="44"/>
      <c r="AA94" s="19"/>
    </row>
    <row r="95" spans="1:27" s="43" customFormat="1" ht="18" customHeight="1" x14ac:dyDescent="0.2">
      <c r="A95" s="53" t="s">
        <v>16</v>
      </c>
      <c r="B95" s="54"/>
      <c r="C95" s="55"/>
      <c r="D95" s="49"/>
      <c r="E95" s="31"/>
      <c r="F95" s="38" t="s">
        <v>156</v>
      </c>
      <c r="G95" s="39">
        <v>91700</v>
      </c>
      <c r="H95" s="39">
        <f>CEILING(60464.2*2,100)</f>
        <v>121000</v>
      </c>
      <c r="I95" s="39">
        <f>CEILING(88276.36/3*4,100)</f>
        <v>117800</v>
      </c>
      <c r="J95" s="39">
        <f>CEILING(88276.36/3*4,100)</f>
        <v>117800</v>
      </c>
      <c r="K95" s="39">
        <v>119063.36</v>
      </c>
      <c r="L95" s="39">
        <v>112916.26</v>
      </c>
      <c r="M95" s="12">
        <f t="shared" si="33"/>
        <v>0</v>
      </c>
      <c r="N95" s="12">
        <f t="shared" si="34"/>
        <v>26100</v>
      </c>
      <c r="O95" s="13">
        <f t="shared" si="28"/>
        <v>1263.3600000000006</v>
      </c>
      <c r="P95" s="13">
        <f t="shared" si="29"/>
        <v>27363.360000000001</v>
      </c>
      <c r="Q95" s="47" t="s">
        <v>157</v>
      </c>
      <c r="R95" s="45" t="s">
        <v>158</v>
      </c>
      <c r="S95" s="15"/>
      <c r="T95" s="16" t="e">
        <f>#REF!-#REF!</f>
        <v>#REF!</v>
      </c>
      <c r="W95" s="44"/>
      <c r="X95" s="44"/>
      <c r="AA95" s="19"/>
    </row>
    <row r="96" spans="1:27" s="43" customFormat="1" ht="18" customHeight="1" x14ac:dyDescent="0.2">
      <c r="A96" s="53" t="s">
        <v>16</v>
      </c>
      <c r="B96" s="54"/>
      <c r="C96" s="55"/>
      <c r="D96" s="49"/>
      <c r="E96" s="31"/>
      <c r="F96" s="38" t="s">
        <v>159</v>
      </c>
      <c r="G96" s="39">
        <v>70500</v>
      </c>
      <c r="H96" s="39">
        <f>CEILING(52348.74*2,100)</f>
        <v>104700</v>
      </c>
      <c r="I96" s="39">
        <f>CEILING(77287.53/3*4,100)</f>
        <v>103100</v>
      </c>
      <c r="J96" s="39">
        <f>CEILING(77287.53/3*4,100)</f>
        <v>103100</v>
      </c>
      <c r="K96" s="39">
        <v>94714.06</v>
      </c>
      <c r="L96" s="39">
        <v>84172.18</v>
      </c>
      <c r="M96" s="12">
        <f t="shared" si="33"/>
        <v>0</v>
      </c>
      <c r="N96" s="12">
        <f t="shared" si="34"/>
        <v>32600</v>
      </c>
      <c r="O96" s="13">
        <f t="shared" si="28"/>
        <v>-8385.9400000000023</v>
      </c>
      <c r="P96" s="13">
        <f t="shared" si="29"/>
        <v>24214.059999999998</v>
      </c>
      <c r="Q96" s="47" t="s">
        <v>157</v>
      </c>
      <c r="R96" s="45" t="s">
        <v>158</v>
      </c>
      <c r="S96" s="15"/>
      <c r="T96" s="16" t="e">
        <f>#REF!-#REF!</f>
        <v>#REF!</v>
      </c>
      <c r="W96" s="44"/>
      <c r="X96" s="44"/>
      <c r="AA96" s="19"/>
    </row>
    <row r="97" spans="1:27" s="43" customFormat="1" ht="18" customHeight="1" x14ac:dyDescent="0.2">
      <c r="A97" s="53" t="s">
        <v>16</v>
      </c>
      <c r="B97" s="54"/>
      <c r="C97" s="55"/>
      <c r="D97" s="49"/>
      <c r="E97" s="31"/>
      <c r="F97" s="38" t="s">
        <v>160</v>
      </c>
      <c r="G97" s="39">
        <v>15300</v>
      </c>
      <c r="H97" s="39">
        <v>15300</v>
      </c>
      <c r="I97" s="39">
        <f>H97</f>
        <v>15300</v>
      </c>
      <c r="J97" s="39">
        <v>0</v>
      </c>
      <c r="K97" s="39">
        <v>0</v>
      </c>
      <c r="L97" s="39">
        <v>1054.2</v>
      </c>
      <c r="M97" s="12">
        <f t="shared" si="33"/>
        <v>-15300</v>
      </c>
      <c r="N97" s="12">
        <f t="shared" si="34"/>
        <v>-15300</v>
      </c>
      <c r="O97" s="13">
        <f t="shared" si="28"/>
        <v>0</v>
      </c>
      <c r="P97" s="13">
        <f t="shared" si="29"/>
        <v>-15300</v>
      </c>
      <c r="Q97" s="14" t="s">
        <v>161</v>
      </c>
      <c r="R97" s="45" t="s">
        <v>162</v>
      </c>
      <c r="S97" s="15"/>
      <c r="T97" s="16" t="e">
        <f>#REF!-#REF!</f>
        <v>#REF!</v>
      </c>
      <c r="W97" s="44"/>
      <c r="X97" s="44"/>
      <c r="AA97" s="19"/>
    </row>
    <row r="98" spans="1:27" s="33" customFormat="1" ht="18" customHeight="1" x14ac:dyDescent="0.2">
      <c r="A98" s="50" t="s">
        <v>16</v>
      </c>
      <c r="B98" s="51"/>
      <c r="C98" s="52"/>
      <c r="D98" s="57"/>
      <c r="E98" s="31" t="s">
        <v>163</v>
      </c>
      <c r="F98" s="32"/>
      <c r="G98" s="15">
        <f t="shared" ref="G98:K98" si="41">SUM(G99:G104)</f>
        <v>677400</v>
      </c>
      <c r="H98" s="15">
        <f t="shared" si="41"/>
        <v>725500</v>
      </c>
      <c r="I98" s="15">
        <f t="shared" si="41"/>
        <v>714200</v>
      </c>
      <c r="J98" s="15">
        <f t="shared" si="41"/>
        <v>701300</v>
      </c>
      <c r="K98" s="15">
        <f t="shared" si="41"/>
        <v>707651.73</v>
      </c>
      <c r="L98" s="15">
        <f>SUM(L99:L104)</f>
        <v>678555.68</v>
      </c>
      <c r="M98" s="12">
        <f t="shared" si="33"/>
        <v>-12900</v>
      </c>
      <c r="N98" s="12">
        <f t="shared" si="34"/>
        <v>23900</v>
      </c>
      <c r="O98" s="13">
        <f t="shared" si="28"/>
        <v>6351.7299999999814</v>
      </c>
      <c r="P98" s="13">
        <f t="shared" si="29"/>
        <v>30251.729999999981</v>
      </c>
      <c r="Q98" s="14"/>
      <c r="R98" s="14"/>
      <c r="S98" s="15"/>
      <c r="T98" s="16" t="e">
        <f>#REF!-#REF!</f>
        <v>#REF!</v>
      </c>
      <c r="W98" s="34"/>
      <c r="X98" s="34"/>
      <c r="AA98" s="19"/>
    </row>
    <row r="99" spans="1:27" s="43" customFormat="1" ht="18" customHeight="1" x14ac:dyDescent="0.2">
      <c r="A99" s="53" t="s">
        <v>16</v>
      </c>
      <c r="B99" s="54"/>
      <c r="C99" s="55"/>
      <c r="D99" s="49"/>
      <c r="E99" s="31"/>
      <c r="F99" s="38" t="s">
        <v>164</v>
      </c>
      <c r="G99" s="39">
        <v>568000</v>
      </c>
      <c r="H99" s="39">
        <v>604400</v>
      </c>
      <c r="I99" s="39">
        <v>593100</v>
      </c>
      <c r="J99" s="39">
        <v>589300</v>
      </c>
      <c r="K99" s="39">
        <v>597338.07999999996</v>
      </c>
      <c r="L99" s="39">
        <v>564529.55000000005</v>
      </c>
      <c r="M99" s="12">
        <f t="shared" si="33"/>
        <v>-3800</v>
      </c>
      <c r="N99" s="12">
        <f t="shared" si="34"/>
        <v>21300</v>
      </c>
      <c r="O99" s="13">
        <f t="shared" si="28"/>
        <v>8038.0799999999581</v>
      </c>
      <c r="P99" s="13">
        <f t="shared" si="29"/>
        <v>29338.079999999958</v>
      </c>
      <c r="Q99" s="46"/>
      <c r="R99" s="45" t="s">
        <v>165</v>
      </c>
      <c r="S99" s="15" t="s">
        <v>59</v>
      </c>
      <c r="T99" s="16" t="e">
        <f>#REF!-#REF!</f>
        <v>#REF!</v>
      </c>
      <c r="W99" s="44"/>
      <c r="X99" s="44"/>
      <c r="AA99" s="19"/>
    </row>
    <row r="100" spans="1:27" s="43" customFormat="1" ht="18" customHeight="1" x14ac:dyDescent="0.2">
      <c r="A100" s="53" t="s">
        <v>16</v>
      </c>
      <c r="B100" s="54"/>
      <c r="C100" s="55"/>
      <c r="D100" s="49"/>
      <c r="E100" s="31"/>
      <c r="F100" s="38" t="s">
        <v>166</v>
      </c>
      <c r="G100" s="39">
        <v>36500</v>
      </c>
      <c r="H100" s="39">
        <v>34200</v>
      </c>
      <c r="I100" s="39">
        <f>H100</f>
        <v>34200</v>
      </c>
      <c r="J100" s="39">
        <v>33200</v>
      </c>
      <c r="K100" s="39">
        <v>32443.68</v>
      </c>
      <c r="L100" s="39">
        <v>32994.83</v>
      </c>
      <c r="M100" s="12">
        <f t="shared" si="33"/>
        <v>-1000</v>
      </c>
      <c r="N100" s="12">
        <f t="shared" si="34"/>
        <v>-3300</v>
      </c>
      <c r="O100" s="13">
        <f t="shared" si="28"/>
        <v>-756.31999999999971</v>
      </c>
      <c r="P100" s="13">
        <f t="shared" si="29"/>
        <v>-4056.3199999999997</v>
      </c>
      <c r="Q100" s="46"/>
      <c r="R100" s="45"/>
      <c r="S100" s="15"/>
      <c r="T100" s="16" t="e">
        <f>#REF!-#REF!</f>
        <v>#REF!</v>
      </c>
      <c r="U100" s="70"/>
      <c r="W100" s="44"/>
      <c r="X100" s="44"/>
      <c r="AA100" s="19"/>
    </row>
    <row r="101" spans="1:27" s="43" customFormat="1" ht="18" customHeight="1" x14ac:dyDescent="0.2">
      <c r="A101" s="53" t="s">
        <v>16</v>
      </c>
      <c r="B101" s="54"/>
      <c r="C101" s="55"/>
      <c r="D101" s="49"/>
      <c r="E101" s="31"/>
      <c r="F101" s="38" t="s">
        <v>167</v>
      </c>
      <c r="G101" s="39">
        <v>38000</v>
      </c>
      <c r="H101" s="39">
        <v>32000</v>
      </c>
      <c r="I101" s="39">
        <f t="shared" ref="I101:I104" si="42">H101</f>
        <v>32000</v>
      </c>
      <c r="J101" s="39">
        <f>CEILING(28765.85/11*12,100)</f>
        <v>31400</v>
      </c>
      <c r="K101" s="39">
        <v>31127.65</v>
      </c>
      <c r="L101" s="39">
        <f>31650.66+2925.38</f>
        <v>34576.04</v>
      </c>
      <c r="M101" s="12">
        <f t="shared" si="33"/>
        <v>-600</v>
      </c>
      <c r="N101" s="12">
        <f t="shared" si="34"/>
        <v>-6600</v>
      </c>
      <c r="O101" s="13">
        <f t="shared" si="28"/>
        <v>-272.34999999999854</v>
      </c>
      <c r="P101" s="13">
        <f t="shared" si="29"/>
        <v>-6872.3499999999985</v>
      </c>
      <c r="Q101" s="47" t="s">
        <v>168</v>
      </c>
      <c r="R101" s="45" t="s">
        <v>169</v>
      </c>
      <c r="S101" s="15"/>
      <c r="T101" s="16" t="e">
        <f>#REF!-#REF!</f>
        <v>#REF!</v>
      </c>
      <c r="U101" s="70"/>
      <c r="W101" s="44"/>
      <c r="X101" s="44"/>
      <c r="AA101" s="19"/>
    </row>
    <row r="102" spans="1:27" s="43" customFormat="1" ht="18" customHeight="1" x14ac:dyDescent="0.2">
      <c r="A102" s="53" t="s">
        <v>16</v>
      </c>
      <c r="B102" s="54"/>
      <c r="C102" s="55"/>
      <c r="D102" s="49"/>
      <c r="E102" s="31"/>
      <c r="F102" s="38" t="s">
        <v>170</v>
      </c>
      <c r="G102" s="39">
        <v>18600</v>
      </c>
      <c r="H102" s="39">
        <v>28500</v>
      </c>
      <c r="I102" s="39">
        <f t="shared" si="42"/>
        <v>28500</v>
      </c>
      <c r="J102" s="39">
        <v>23100</v>
      </c>
      <c r="K102" s="39">
        <v>23022.02</v>
      </c>
      <c r="L102" s="39">
        <v>18151.13</v>
      </c>
      <c r="M102" s="12">
        <f t="shared" si="33"/>
        <v>-5400</v>
      </c>
      <c r="N102" s="12">
        <f t="shared" si="34"/>
        <v>4500</v>
      </c>
      <c r="O102" s="13">
        <f t="shared" si="28"/>
        <v>-77.979999999999563</v>
      </c>
      <c r="P102" s="13">
        <f t="shared" si="29"/>
        <v>4422.0200000000004</v>
      </c>
      <c r="Q102" s="47" t="s">
        <v>171</v>
      </c>
      <c r="R102" s="45" t="s">
        <v>41</v>
      </c>
      <c r="S102" s="15"/>
      <c r="T102" s="16" t="e">
        <f>#REF!-#REF!</f>
        <v>#REF!</v>
      </c>
      <c r="W102" s="44"/>
      <c r="X102" s="44"/>
      <c r="AA102" s="19"/>
    </row>
    <row r="103" spans="1:27" s="43" customFormat="1" ht="18" customHeight="1" x14ac:dyDescent="0.2">
      <c r="A103" s="53" t="s">
        <v>16</v>
      </c>
      <c r="B103" s="54"/>
      <c r="C103" s="55"/>
      <c r="D103" s="49"/>
      <c r="E103" s="31"/>
      <c r="F103" s="38" t="s">
        <v>172</v>
      </c>
      <c r="G103" s="39">
        <v>7800</v>
      </c>
      <c r="H103" s="39">
        <v>17900</v>
      </c>
      <c r="I103" s="39">
        <f t="shared" si="42"/>
        <v>17900</v>
      </c>
      <c r="J103" s="39">
        <v>17200</v>
      </c>
      <c r="K103" s="39">
        <v>17125.349999999999</v>
      </c>
      <c r="L103" s="39">
        <v>8521.26</v>
      </c>
      <c r="M103" s="12">
        <f t="shared" si="33"/>
        <v>-700</v>
      </c>
      <c r="N103" s="12">
        <f t="shared" si="34"/>
        <v>9400</v>
      </c>
      <c r="O103" s="13">
        <f t="shared" si="28"/>
        <v>-74.650000000001455</v>
      </c>
      <c r="P103" s="13">
        <f t="shared" si="29"/>
        <v>9325.3499999999985</v>
      </c>
      <c r="Q103" s="47" t="s">
        <v>173</v>
      </c>
      <c r="R103" s="45" t="s">
        <v>41</v>
      </c>
      <c r="S103" s="15"/>
      <c r="T103" s="16" t="e">
        <f>#REF!-#REF!</f>
        <v>#REF!</v>
      </c>
      <c r="W103" s="44"/>
      <c r="X103" s="44"/>
      <c r="AA103" s="19"/>
    </row>
    <row r="104" spans="1:27" s="43" customFormat="1" ht="18" customHeight="1" x14ac:dyDescent="0.2">
      <c r="A104" s="53" t="s">
        <v>16</v>
      </c>
      <c r="B104" s="54"/>
      <c r="C104" s="55"/>
      <c r="D104" s="49"/>
      <c r="E104" s="31"/>
      <c r="F104" s="38" t="s">
        <v>174</v>
      </c>
      <c r="G104" s="39">
        <v>8500</v>
      </c>
      <c r="H104" s="39">
        <f>G104</f>
        <v>8500</v>
      </c>
      <c r="I104" s="39">
        <f t="shared" si="42"/>
        <v>8500</v>
      </c>
      <c r="J104" s="39">
        <f>CEILING(6426.08/11*12,100)</f>
        <v>7100</v>
      </c>
      <c r="K104" s="39">
        <v>6594.95</v>
      </c>
      <c r="L104" s="39">
        <v>19782.87</v>
      </c>
      <c r="M104" s="12">
        <f t="shared" si="33"/>
        <v>-1400</v>
      </c>
      <c r="N104" s="12">
        <f t="shared" si="34"/>
        <v>-1400</v>
      </c>
      <c r="O104" s="13">
        <f t="shared" si="28"/>
        <v>-505.05000000000018</v>
      </c>
      <c r="P104" s="13">
        <f t="shared" si="29"/>
        <v>-1905.0500000000002</v>
      </c>
      <c r="Q104" s="46"/>
      <c r="R104" s="45" t="s">
        <v>175</v>
      </c>
      <c r="S104" s="15"/>
      <c r="T104" s="16" t="e">
        <f>#REF!-#REF!</f>
        <v>#REF!</v>
      </c>
      <c r="U104" s="77">
        <f>3977.05+2307.14+(4080*1.22)</f>
        <v>11261.79</v>
      </c>
      <c r="W104" s="44"/>
      <c r="X104" s="44"/>
      <c r="AA104" s="19"/>
    </row>
    <row r="105" spans="1:27" s="33" customFormat="1" ht="18" customHeight="1" x14ac:dyDescent="0.2">
      <c r="A105" s="50" t="s">
        <v>16</v>
      </c>
      <c r="B105" s="51"/>
      <c r="C105" s="52"/>
      <c r="D105" s="57"/>
      <c r="E105" s="52" t="s">
        <v>176</v>
      </c>
      <c r="F105" s="59"/>
      <c r="G105" s="15">
        <f t="shared" ref="G105:K105" si="43">SUM(G106:G112)</f>
        <v>63200</v>
      </c>
      <c r="H105" s="15">
        <f t="shared" si="43"/>
        <v>56000</v>
      </c>
      <c r="I105" s="15">
        <f t="shared" si="43"/>
        <v>58500</v>
      </c>
      <c r="J105" s="15">
        <f t="shared" si="43"/>
        <v>61700</v>
      </c>
      <c r="K105" s="15">
        <f t="shared" si="43"/>
        <v>59956.83</v>
      </c>
      <c r="L105" s="15">
        <f>SUM(L106:L112)</f>
        <v>59275.02</v>
      </c>
      <c r="M105" s="12">
        <f t="shared" si="33"/>
        <v>3200</v>
      </c>
      <c r="N105" s="12">
        <f t="shared" si="34"/>
        <v>-1500</v>
      </c>
      <c r="O105" s="13">
        <f t="shared" si="28"/>
        <v>-1743.1699999999983</v>
      </c>
      <c r="P105" s="13">
        <f t="shared" si="29"/>
        <v>-3243.1699999999983</v>
      </c>
      <c r="Q105" s="14"/>
      <c r="R105" s="14"/>
      <c r="S105" s="15"/>
      <c r="T105" s="16" t="e">
        <f>#REF!-#REF!</f>
        <v>#REF!</v>
      </c>
      <c r="W105" s="34"/>
      <c r="X105" s="34"/>
      <c r="AA105" s="19"/>
    </row>
    <row r="106" spans="1:27" s="43" customFormat="1" ht="18" customHeight="1" x14ac:dyDescent="0.2">
      <c r="A106" s="53" t="s">
        <v>16</v>
      </c>
      <c r="B106" s="54"/>
      <c r="C106" s="55"/>
      <c r="D106" s="49"/>
      <c r="E106" s="52"/>
      <c r="F106" s="38" t="s">
        <v>177</v>
      </c>
      <c r="G106" s="39">
        <v>14300</v>
      </c>
      <c r="H106" s="39">
        <f>G106</f>
        <v>14300</v>
      </c>
      <c r="I106" s="39">
        <f>H106</f>
        <v>14300</v>
      </c>
      <c r="J106" s="39">
        <f>CEILING(13805.13/11*12+(648.48*1.22),100)</f>
        <v>15900</v>
      </c>
      <c r="K106" s="39">
        <v>14992.96</v>
      </c>
      <c r="L106" s="39">
        <v>12982.58</v>
      </c>
      <c r="M106" s="12">
        <f t="shared" si="33"/>
        <v>1600</v>
      </c>
      <c r="N106" s="12">
        <f t="shared" si="34"/>
        <v>1600</v>
      </c>
      <c r="O106" s="13">
        <f t="shared" si="28"/>
        <v>-907.04000000000087</v>
      </c>
      <c r="P106" s="13">
        <f t="shared" si="29"/>
        <v>692.95999999999913</v>
      </c>
      <c r="Q106" s="46"/>
      <c r="R106" s="45" t="s">
        <v>41</v>
      </c>
      <c r="S106" s="15"/>
      <c r="T106" s="16" t="e">
        <f>#REF!-#REF!</f>
        <v>#REF!</v>
      </c>
      <c r="W106" s="44"/>
      <c r="X106" s="44"/>
      <c r="AA106" s="19"/>
    </row>
    <row r="107" spans="1:27" s="43" customFormat="1" ht="18" customHeight="1" x14ac:dyDescent="0.2">
      <c r="A107" s="53" t="s">
        <v>16</v>
      </c>
      <c r="B107" s="54"/>
      <c r="C107" s="55"/>
      <c r="D107" s="49"/>
      <c r="E107" s="52"/>
      <c r="F107" s="65" t="s">
        <v>178</v>
      </c>
      <c r="G107" s="39">
        <v>8100</v>
      </c>
      <c r="H107" s="39">
        <f>CEILING((2300.09+115.6+1115.6)/7*12,100)</f>
        <v>6100</v>
      </c>
      <c r="I107" s="39">
        <f t="shared" ref="I107:I112" si="44">H107</f>
        <v>6100</v>
      </c>
      <c r="J107" s="39">
        <f>CEILING(4609.79+(1290*1.22),100)</f>
        <v>6200</v>
      </c>
      <c r="K107" s="39">
        <v>6400.62</v>
      </c>
      <c r="L107" s="39">
        <v>7811.42</v>
      </c>
      <c r="M107" s="12">
        <f t="shared" si="33"/>
        <v>100</v>
      </c>
      <c r="N107" s="12">
        <f t="shared" si="34"/>
        <v>-1900</v>
      </c>
      <c r="O107" s="13">
        <f t="shared" si="28"/>
        <v>200.61999999999989</v>
      </c>
      <c r="P107" s="13">
        <f t="shared" si="29"/>
        <v>-1699.38</v>
      </c>
      <c r="Q107" s="46"/>
      <c r="R107" s="45" t="s">
        <v>136</v>
      </c>
      <c r="S107" s="15"/>
      <c r="T107" s="16" t="e">
        <f>#REF!-#REF!</f>
        <v>#REF!</v>
      </c>
      <c r="W107" s="44"/>
      <c r="X107" s="44"/>
      <c r="AA107" s="19"/>
    </row>
    <row r="108" spans="1:27" s="43" customFormat="1" ht="18" customHeight="1" x14ac:dyDescent="0.2">
      <c r="A108" s="53" t="s">
        <v>16</v>
      </c>
      <c r="B108" s="54"/>
      <c r="C108" s="55"/>
      <c r="D108" s="49"/>
      <c r="E108" s="52"/>
      <c r="F108" s="65" t="s">
        <v>179</v>
      </c>
      <c r="G108" s="39">
        <v>7300</v>
      </c>
      <c r="H108" s="39">
        <f>CEILING(3750.49/7*12,100)</f>
        <v>6500</v>
      </c>
      <c r="I108" s="39">
        <f>CEILING(5347.24/10*12,100)</f>
        <v>6500</v>
      </c>
      <c r="J108" s="39">
        <f>CEILING(5883.28/11*12,100)</f>
        <v>6500</v>
      </c>
      <c r="K108" s="39">
        <v>6409.76</v>
      </c>
      <c r="L108" s="39">
        <v>7141.89</v>
      </c>
      <c r="M108" s="12">
        <f t="shared" si="33"/>
        <v>0</v>
      </c>
      <c r="N108" s="12">
        <f t="shared" si="34"/>
        <v>-800</v>
      </c>
      <c r="O108" s="13">
        <f t="shared" si="28"/>
        <v>-90.239999999999782</v>
      </c>
      <c r="P108" s="13">
        <f t="shared" si="29"/>
        <v>-890.23999999999978</v>
      </c>
      <c r="Q108" s="46"/>
      <c r="R108" s="45" t="s">
        <v>41</v>
      </c>
      <c r="S108" s="15"/>
      <c r="T108" s="16" t="e">
        <f>#REF!-#REF!</f>
        <v>#REF!</v>
      </c>
      <c r="W108" s="44"/>
      <c r="X108" s="44"/>
      <c r="AA108" s="19"/>
    </row>
    <row r="109" spans="1:27" s="43" customFormat="1" ht="18" customHeight="1" x14ac:dyDescent="0.2">
      <c r="A109" s="53" t="s">
        <v>16</v>
      </c>
      <c r="B109" s="54"/>
      <c r="C109" s="55"/>
      <c r="D109" s="49"/>
      <c r="E109" s="52"/>
      <c r="F109" s="65" t="s">
        <v>180</v>
      </c>
      <c r="G109" s="39">
        <v>22300</v>
      </c>
      <c r="H109" s="39">
        <f>CEILING(((13329.04/7*12)-229.79),100)</f>
        <v>22700</v>
      </c>
      <c r="I109" s="39">
        <f>CEILING((21177.56-229.79)/10*12,100)</f>
        <v>25200</v>
      </c>
      <c r="J109" s="39">
        <f>CEILING(23611.82/11*12,100)</f>
        <v>25800</v>
      </c>
      <c r="K109" s="39">
        <v>25167.18</v>
      </c>
      <c r="L109" s="39">
        <v>21184.83</v>
      </c>
      <c r="M109" s="12">
        <f t="shared" si="33"/>
        <v>600</v>
      </c>
      <c r="N109" s="12">
        <f t="shared" si="34"/>
        <v>3500</v>
      </c>
      <c r="O109" s="13">
        <f t="shared" si="28"/>
        <v>-632.81999999999971</v>
      </c>
      <c r="P109" s="13">
        <f t="shared" si="29"/>
        <v>2867.1800000000003</v>
      </c>
      <c r="Q109" s="46"/>
      <c r="R109" s="45"/>
      <c r="S109" s="15"/>
      <c r="T109" s="16" t="e">
        <f>#REF!-#REF!</f>
        <v>#REF!</v>
      </c>
      <c r="W109" s="44"/>
      <c r="X109" s="44"/>
      <c r="AA109" s="19"/>
    </row>
    <row r="110" spans="1:27" s="43" customFormat="1" ht="18" customHeight="1" x14ac:dyDescent="0.2">
      <c r="A110" s="53" t="s">
        <v>16</v>
      </c>
      <c r="B110" s="54"/>
      <c r="C110" s="55"/>
      <c r="D110" s="49"/>
      <c r="E110" s="52"/>
      <c r="F110" s="65" t="s">
        <v>176</v>
      </c>
      <c r="G110" s="39">
        <v>3000</v>
      </c>
      <c r="H110" s="39">
        <f>CEILING((243.02+200),100)</f>
        <v>500</v>
      </c>
      <c r="I110" s="39">
        <f t="shared" si="44"/>
        <v>500</v>
      </c>
      <c r="J110" s="39">
        <f>CEILING(316.48/11*12,100)</f>
        <v>400</v>
      </c>
      <c r="K110" s="39">
        <v>316.48</v>
      </c>
      <c r="L110" s="39">
        <v>358.03</v>
      </c>
      <c r="M110" s="12">
        <f t="shared" si="33"/>
        <v>-100</v>
      </c>
      <c r="N110" s="12">
        <f t="shared" si="34"/>
        <v>-2600</v>
      </c>
      <c r="O110" s="13">
        <f t="shared" si="28"/>
        <v>-83.519999999999982</v>
      </c>
      <c r="P110" s="13">
        <f t="shared" si="29"/>
        <v>-2683.52</v>
      </c>
      <c r="Q110" s="47" t="s">
        <v>181</v>
      </c>
      <c r="R110" s="45" t="s">
        <v>182</v>
      </c>
      <c r="S110" s="15"/>
      <c r="T110" s="16" t="e">
        <f>#REF!-#REF!</f>
        <v>#REF!</v>
      </c>
      <c r="W110" s="44"/>
      <c r="X110" s="44"/>
      <c r="AA110" s="19"/>
    </row>
    <row r="111" spans="1:27" s="43" customFormat="1" ht="18" customHeight="1" x14ac:dyDescent="0.2">
      <c r="A111" s="53" t="s">
        <v>16</v>
      </c>
      <c r="B111" s="54"/>
      <c r="C111" s="55"/>
      <c r="D111" s="49"/>
      <c r="E111" s="52"/>
      <c r="F111" s="65" t="s">
        <v>183</v>
      </c>
      <c r="G111" s="39">
        <v>7400</v>
      </c>
      <c r="H111" s="39">
        <f>CEILING((86.52/6*12+4900),100)</f>
        <v>5100</v>
      </c>
      <c r="I111" s="39">
        <f>CEILING((143.19/10*12+4900),100)</f>
        <v>5100</v>
      </c>
      <c r="J111" s="39">
        <f>CEILING((201.49/11*12+3850+1935.01),100)</f>
        <v>6100</v>
      </c>
      <c r="K111" s="39">
        <v>5993.5</v>
      </c>
      <c r="L111" s="39">
        <v>9027.57</v>
      </c>
      <c r="M111" s="12">
        <f t="shared" si="33"/>
        <v>1000</v>
      </c>
      <c r="N111" s="12">
        <f t="shared" si="34"/>
        <v>-1300</v>
      </c>
      <c r="O111" s="13">
        <f t="shared" si="28"/>
        <v>-106.5</v>
      </c>
      <c r="P111" s="13">
        <f t="shared" si="29"/>
        <v>-1406.5</v>
      </c>
      <c r="Q111" s="47" t="s">
        <v>184</v>
      </c>
      <c r="R111" s="45" t="s">
        <v>185</v>
      </c>
      <c r="S111" s="15"/>
      <c r="T111" s="16" t="e">
        <f>#REF!-#REF!</f>
        <v>#REF!</v>
      </c>
      <c r="W111" s="44"/>
      <c r="X111" s="44"/>
      <c r="AA111" s="19"/>
    </row>
    <row r="112" spans="1:27" s="43" customFormat="1" ht="18" customHeight="1" x14ac:dyDescent="0.2">
      <c r="A112" s="53" t="s">
        <v>16</v>
      </c>
      <c r="B112" s="54"/>
      <c r="C112" s="55"/>
      <c r="D112" s="49"/>
      <c r="E112" s="52"/>
      <c r="F112" s="65" t="s">
        <v>186</v>
      </c>
      <c r="G112" s="39">
        <v>800</v>
      </c>
      <c r="H112" s="39">
        <v>800</v>
      </c>
      <c r="I112" s="39">
        <f t="shared" si="44"/>
        <v>800</v>
      </c>
      <c r="J112" s="39">
        <f>CEILING(((676.33-329.9)/11*12)+329.9,100)</f>
        <v>800</v>
      </c>
      <c r="K112" s="39">
        <v>676.33</v>
      </c>
      <c r="L112" s="39">
        <v>768.7</v>
      </c>
      <c r="M112" s="12">
        <f t="shared" si="33"/>
        <v>0</v>
      </c>
      <c r="N112" s="12">
        <f t="shared" si="34"/>
        <v>0</v>
      </c>
      <c r="O112" s="13">
        <f t="shared" si="28"/>
        <v>-123.66999999999996</v>
      </c>
      <c r="P112" s="13">
        <f t="shared" si="29"/>
        <v>-123.66999999999996</v>
      </c>
      <c r="Q112" s="46"/>
      <c r="R112" s="45" t="s">
        <v>133</v>
      </c>
      <c r="S112" s="15"/>
      <c r="T112" s="16" t="e">
        <f>#REF!-#REF!</f>
        <v>#REF!</v>
      </c>
      <c r="W112" s="44"/>
      <c r="X112" s="44"/>
      <c r="AA112" s="19"/>
    </row>
    <row r="113" spans="1:27" s="17" customFormat="1" ht="18" customHeight="1" x14ac:dyDescent="0.2">
      <c r="A113" s="20" t="s">
        <v>16</v>
      </c>
      <c r="B113" s="48"/>
      <c r="C113" s="49"/>
      <c r="D113" s="49" t="s">
        <v>187</v>
      </c>
      <c r="E113" s="57"/>
      <c r="F113" s="58"/>
      <c r="G113" s="28">
        <f t="shared" ref="G113:J113" si="45">G114+G117+G120+G123+G126+G129</f>
        <v>11000</v>
      </c>
      <c r="H113" s="28">
        <f t="shared" si="45"/>
        <v>11000</v>
      </c>
      <c r="I113" s="28">
        <f t="shared" si="45"/>
        <v>11000</v>
      </c>
      <c r="J113" s="28">
        <f t="shared" si="45"/>
        <v>11000</v>
      </c>
      <c r="K113" s="28">
        <f>K114+K117+K120+K123+K126+K129</f>
        <v>4244.3499999999995</v>
      </c>
      <c r="L113" s="28">
        <f>L114+L117+L120+L123+L126+L129</f>
        <v>46116.480000000003</v>
      </c>
      <c r="M113" s="12">
        <f t="shared" si="33"/>
        <v>0</v>
      </c>
      <c r="N113" s="12">
        <f t="shared" si="34"/>
        <v>0</v>
      </c>
      <c r="O113" s="13">
        <f t="shared" si="28"/>
        <v>-6755.6500000000005</v>
      </c>
      <c r="P113" s="13">
        <f t="shared" si="29"/>
        <v>-6755.6500000000005</v>
      </c>
      <c r="Q113" s="14" t="s">
        <v>133</v>
      </c>
      <c r="R113" s="14"/>
      <c r="S113" s="15"/>
      <c r="T113" s="16" t="e">
        <f>#REF!-#REF!</f>
        <v>#REF!</v>
      </c>
      <c r="W113" s="18"/>
      <c r="X113" s="18"/>
      <c r="AA113" s="19"/>
    </row>
    <row r="114" spans="1:27" s="43" customFormat="1" ht="18" hidden="1" customHeight="1" x14ac:dyDescent="0.2">
      <c r="A114" s="53" t="s">
        <v>16</v>
      </c>
      <c r="B114" s="54"/>
      <c r="C114" s="55"/>
      <c r="D114" s="49"/>
      <c r="E114" s="52" t="s">
        <v>188</v>
      </c>
      <c r="F114" s="59"/>
      <c r="G114" s="15">
        <f t="shared" ref="G114:K114" si="46">G115+G116</f>
        <v>0</v>
      </c>
      <c r="H114" s="15">
        <f t="shared" si="46"/>
        <v>0</v>
      </c>
      <c r="I114" s="15">
        <f t="shared" si="46"/>
        <v>0</v>
      </c>
      <c r="J114" s="15">
        <f t="shared" si="46"/>
        <v>0</v>
      </c>
      <c r="K114" s="15">
        <f t="shared" si="46"/>
        <v>0</v>
      </c>
      <c r="L114" s="15">
        <f>L115+L116</f>
        <v>0</v>
      </c>
      <c r="M114" s="12">
        <f t="shared" si="33"/>
        <v>0</v>
      </c>
      <c r="N114" s="12">
        <f t="shared" si="34"/>
        <v>0</v>
      </c>
      <c r="O114" s="13">
        <f t="shared" si="28"/>
        <v>0</v>
      </c>
      <c r="P114" s="13">
        <f t="shared" si="29"/>
        <v>0</v>
      </c>
      <c r="Q114" s="14"/>
      <c r="R114" s="14"/>
      <c r="S114" s="15"/>
      <c r="T114" s="16" t="e">
        <f>#REF!-#REF!</f>
        <v>#REF!</v>
      </c>
      <c r="W114" s="44"/>
      <c r="X114" s="44"/>
      <c r="AA114" s="19"/>
    </row>
    <row r="115" spans="1:27" s="43" customFormat="1" ht="18" hidden="1" customHeight="1" x14ac:dyDescent="0.2">
      <c r="A115" s="53" t="s">
        <v>16</v>
      </c>
      <c r="B115" s="54"/>
      <c r="C115" s="55"/>
      <c r="D115" s="49"/>
      <c r="E115" s="52"/>
      <c r="F115" s="65" t="s">
        <v>189</v>
      </c>
      <c r="G115" s="60">
        <v>0</v>
      </c>
      <c r="H115" s="60">
        <v>0</v>
      </c>
      <c r="I115" s="60">
        <v>0</v>
      </c>
      <c r="J115" s="60">
        <v>0</v>
      </c>
      <c r="K115" s="60">
        <v>0</v>
      </c>
      <c r="L115" s="60">
        <v>0</v>
      </c>
      <c r="M115" s="12">
        <f t="shared" si="33"/>
        <v>0</v>
      </c>
      <c r="N115" s="12">
        <f t="shared" si="34"/>
        <v>0</v>
      </c>
      <c r="O115" s="13">
        <f t="shared" si="28"/>
        <v>0</v>
      </c>
      <c r="P115" s="13">
        <f t="shared" si="29"/>
        <v>0</v>
      </c>
      <c r="Q115" s="14"/>
      <c r="R115" s="14"/>
      <c r="S115" s="15"/>
      <c r="T115" s="16" t="e">
        <f>#REF!-#REF!</f>
        <v>#REF!</v>
      </c>
      <c r="W115" s="44"/>
      <c r="X115" s="44"/>
      <c r="AA115" s="19"/>
    </row>
    <row r="116" spans="1:27" s="43" customFormat="1" ht="18" hidden="1" customHeight="1" x14ac:dyDescent="0.2">
      <c r="A116" s="53" t="s">
        <v>16</v>
      </c>
      <c r="B116" s="54"/>
      <c r="C116" s="55"/>
      <c r="D116" s="49"/>
      <c r="E116" s="52"/>
      <c r="F116" s="65" t="s">
        <v>190</v>
      </c>
      <c r="G116" s="60">
        <v>0</v>
      </c>
      <c r="H116" s="60">
        <v>0</v>
      </c>
      <c r="I116" s="60">
        <v>0</v>
      </c>
      <c r="J116" s="60">
        <v>0</v>
      </c>
      <c r="K116" s="60">
        <v>0</v>
      </c>
      <c r="L116" s="60">
        <v>0</v>
      </c>
      <c r="M116" s="12">
        <f t="shared" si="33"/>
        <v>0</v>
      </c>
      <c r="N116" s="12">
        <f t="shared" si="34"/>
        <v>0</v>
      </c>
      <c r="O116" s="13">
        <f t="shared" si="28"/>
        <v>0</v>
      </c>
      <c r="P116" s="13">
        <f t="shared" si="29"/>
        <v>0</v>
      </c>
      <c r="Q116" s="14"/>
      <c r="R116" s="14"/>
      <c r="S116" s="15"/>
      <c r="T116" s="16" t="e">
        <f>#REF!-#REF!</f>
        <v>#REF!</v>
      </c>
      <c r="W116" s="44"/>
      <c r="X116" s="44"/>
      <c r="AA116" s="19"/>
    </row>
    <row r="117" spans="1:27" s="33" customFormat="1" ht="18" customHeight="1" x14ac:dyDescent="0.2">
      <c r="A117" s="50" t="s">
        <v>16</v>
      </c>
      <c r="B117" s="51"/>
      <c r="C117" s="52"/>
      <c r="D117" s="57"/>
      <c r="E117" s="52" t="s">
        <v>191</v>
      </c>
      <c r="F117" s="59"/>
      <c r="G117" s="15">
        <f t="shared" ref="G117:K117" si="47">G118+G119</f>
        <v>0</v>
      </c>
      <c r="H117" s="15">
        <f t="shared" si="47"/>
        <v>0</v>
      </c>
      <c r="I117" s="15">
        <f t="shared" si="47"/>
        <v>0</v>
      </c>
      <c r="J117" s="15">
        <f t="shared" si="47"/>
        <v>0</v>
      </c>
      <c r="K117" s="15">
        <f t="shared" si="47"/>
        <v>-709.21999999999935</v>
      </c>
      <c r="L117" s="15">
        <f>L118+L119</f>
        <v>1194.6599999999999</v>
      </c>
      <c r="M117" s="12">
        <f t="shared" si="33"/>
        <v>0</v>
      </c>
      <c r="N117" s="12">
        <f t="shared" si="34"/>
        <v>0</v>
      </c>
      <c r="O117" s="13">
        <f t="shared" si="28"/>
        <v>-709.21999999999935</v>
      </c>
      <c r="P117" s="13">
        <f t="shared" si="29"/>
        <v>-709.21999999999935</v>
      </c>
      <c r="Q117" s="14"/>
      <c r="R117" s="14"/>
      <c r="S117" s="15"/>
      <c r="T117" s="16" t="e">
        <f>#REF!-#REF!</f>
        <v>#REF!</v>
      </c>
      <c r="W117" s="34"/>
      <c r="X117" s="34"/>
      <c r="AA117" s="19"/>
    </row>
    <row r="118" spans="1:27" s="43" customFormat="1" ht="18" customHeight="1" x14ac:dyDescent="0.2">
      <c r="A118" s="53" t="s">
        <v>16</v>
      </c>
      <c r="B118" s="54"/>
      <c r="C118" s="55"/>
      <c r="D118" s="49"/>
      <c r="E118" s="52"/>
      <c r="F118" s="65" t="s">
        <v>192</v>
      </c>
      <c r="G118" s="39">
        <f>-L119</f>
        <v>5837.02</v>
      </c>
      <c r="H118" s="39">
        <f t="shared" ref="H118:J119" si="48">G118</f>
        <v>5837.02</v>
      </c>
      <c r="I118" s="39">
        <f t="shared" si="48"/>
        <v>5837.02</v>
      </c>
      <c r="J118" s="39">
        <f t="shared" si="48"/>
        <v>5837.02</v>
      </c>
      <c r="K118" s="39">
        <f>J118</f>
        <v>5837.02</v>
      </c>
      <c r="L118" s="39">
        <v>7031.68</v>
      </c>
      <c r="M118" s="12">
        <f t="shared" si="33"/>
        <v>0</v>
      </c>
      <c r="N118" s="12">
        <f t="shared" si="34"/>
        <v>0</v>
      </c>
      <c r="O118" s="13">
        <f t="shared" si="28"/>
        <v>0</v>
      </c>
      <c r="P118" s="13">
        <f t="shared" si="29"/>
        <v>0</v>
      </c>
      <c r="Q118" s="14"/>
      <c r="R118" s="14"/>
      <c r="S118" s="15"/>
      <c r="T118" s="16" t="e">
        <f>#REF!-#REF!</f>
        <v>#REF!</v>
      </c>
      <c r="W118" s="44"/>
      <c r="X118" s="44"/>
      <c r="AA118" s="19"/>
    </row>
    <row r="119" spans="1:27" s="43" customFormat="1" ht="18" customHeight="1" x14ac:dyDescent="0.2">
      <c r="A119" s="53" t="s">
        <v>16</v>
      </c>
      <c r="B119" s="54"/>
      <c r="C119" s="55"/>
      <c r="D119" s="49"/>
      <c r="E119" s="52"/>
      <c r="F119" s="65" t="s">
        <v>193</v>
      </c>
      <c r="G119" s="39">
        <f>L119</f>
        <v>-5837.02</v>
      </c>
      <c r="H119" s="39">
        <f t="shared" si="48"/>
        <v>-5837.02</v>
      </c>
      <c r="I119" s="39">
        <f t="shared" si="48"/>
        <v>-5837.02</v>
      </c>
      <c r="J119" s="39">
        <v>-5837.02</v>
      </c>
      <c r="K119" s="39">
        <v>-6546.24</v>
      </c>
      <c r="L119" s="39">
        <v>-5837.02</v>
      </c>
      <c r="M119" s="12">
        <f t="shared" si="33"/>
        <v>0</v>
      </c>
      <c r="N119" s="12">
        <f t="shared" si="34"/>
        <v>0</v>
      </c>
      <c r="O119" s="13">
        <f t="shared" si="28"/>
        <v>-709.21999999999935</v>
      </c>
      <c r="P119" s="13">
        <f t="shared" si="29"/>
        <v>-709.21999999999935</v>
      </c>
      <c r="Q119" s="14"/>
      <c r="R119" s="14"/>
      <c r="S119" s="15"/>
      <c r="T119" s="16" t="e">
        <f>#REF!-#REF!</f>
        <v>#REF!</v>
      </c>
      <c r="W119" s="44"/>
      <c r="X119" s="44"/>
      <c r="AA119" s="19"/>
    </row>
    <row r="120" spans="1:27" s="33" customFormat="1" ht="18" customHeight="1" x14ac:dyDescent="0.2">
      <c r="A120" s="50" t="s">
        <v>16</v>
      </c>
      <c r="B120" s="51"/>
      <c r="C120" s="52"/>
      <c r="D120" s="57"/>
      <c r="E120" s="52" t="s">
        <v>194</v>
      </c>
      <c r="F120" s="59"/>
      <c r="G120" s="15">
        <f t="shared" ref="G120:K120" si="49">G121+G122</f>
        <v>0</v>
      </c>
      <c r="H120" s="15">
        <f t="shared" si="49"/>
        <v>0</v>
      </c>
      <c r="I120" s="15">
        <f t="shared" si="49"/>
        <v>0</v>
      </c>
      <c r="J120" s="15">
        <f t="shared" si="49"/>
        <v>0</v>
      </c>
      <c r="K120" s="15">
        <f t="shared" si="49"/>
        <v>-973.6200000000008</v>
      </c>
      <c r="L120" s="15">
        <f>L121+L122</f>
        <v>-753.80999999999949</v>
      </c>
      <c r="M120" s="12">
        <f t="shared" si="33"/>
        <v>0</v>
      </c>
      <c r="N120" s="12">
        <f t="shared" si="34"/>
        <v>0</v>
      </c>
      <c r="O120" s="13">
        <f t="shared" si="28"/>
        <v>-973.6200000000008</v>
      </c>
      <c r="P120" s="13">
        <f t="shared" si="29"/>
        <v>-973.6200000000008</v>
      </c>
      <c r="Q120" s="14"/>
      <c r="R120" s="14"/>
      <c r="S120" s="15"/>
      <c r="T120" s="16" t="e">
        <f>#REF!-#REF!</f>
        <v>#REF!</v>
      </c>
      <c r="W120" s="34"/>
      <c r="X120" s="34"/>
      <c r="AA120" s="19"/>
    </row>
    <row r="121" spans="1:27" s="43" customFormat="1" ht="18" customHeight="1" x14ac:dyDescent="0.2">
      <c r="A121" s="53" t="s">
        <v>16</v>
      </c>
      <c r="B121" s="54"/>
      <c r="C121" s="55"/>
      <c r="D121" s="49"/>
      <c r="E121" s="52"/>
      <c r="F121" s="65" t="s">
        <v>195</v>
      </c>
      <c r="G121" s="39">
        <f>-L122</f>
        <v>14545.25</v>
      </c>
      <c r="H121" s="39">
        <f t="shared" ref="H121:J122" si="50">G121</f>
        <v>14545.25</v>
      </c>
      <c r="I121" s="39">
        <f t="shared" si="50"/>
        <v>14545.25</v>
      </c>
      <c r="J121" s="39">
        <f t="shared" si="50"/>
        <v>14545.25</v>
      </c>
      <c r="K121" s="39">
        <f>J121</f>
        <v>14545.25</v>
      </c>
      <c r="L121" s="39">
        <v>13791.44</v>
      </c>
      <c r="M121" s="12">
        <f t="shared" si="33"/>
        <v>0</v>
      </c>
      <c r="N121" s="12">
        <f t="shared" si="34"/>
        <v>0</v>
      </c>
      <c r="O121" s="13">
        <f t="shared" si="28"/>
        <v>0</v>
      </c>
      <c r="P121" s="13">
        <f t="shared" si="29"/>
        <v>0</v>
      </c>
      <c r="Q121" s="14"/>
      <c r="R121" s="14"/>
      <c r="S121" s="15"/>
      <c r="T121" s="16" t="e">
        <f>#REF!-#REF!</f>
        <v>#REF!</v>
      </c>
      <c r="W121" s="44"/>
      <c r="X121" s="44"/>
      <c r="AA121" s="19"/>
    </row>
    <row r="122" spans="1:27" s="43" customFormat="1" ht="18" customHeight="1" x14ac:dyDescent="0.2">
      <c r="A122" s="53" t="s">
        <v>16</v>
      </c>
      <c r="B122" s="54"/>
      <c r="C122" s="55"/>
      <c r="D122" s="49"/>
      <c r="E122" s="52"/>
      <c r="F122" s="65" t="s">
        <v>196</v>
      </c>
      <c r="G122" s="39">
        <f>L122</f>
        <v>-14545.25</v>
      </c>
      <c r="H122" s="39">
        <f t="shared" si="50"/>
        <v>-14545.25</v>
      </c>
      <c r="I122" s="39">
        <f t="shared" si="50"/>
        <v>-14545.25</v>
      </c>
      <c r="J122" s="39">
        <f t="shared" si="50"/>
        <v>-14545.25</v>
      </c>
      <c r="K122" s="39">
        <v>-15518.87</v>
      </c>
      <c r="L122" s="39">
        <v>-14545.25</v>
      </c>
      <c r="M122" s="12">
        <f t="shared" si="33"/>
        <v>0</v>
      </c>
      <c r="N122" s="12">
        <f t="shared" si="34"/>
        <v>0</v>
      </c>
      <c r="O122" s="13">
        <f t="shared" si="28"/>
        <v>-973.6200000000008</v>
      </c>
      <c r="P122" s="13">
        <f t="shared" si="29"/>
        <v>-973.6200000000008</v>
      </c>
      <c r="Q122" s="14"/>
      <c r="R122" s="14"/>
      <c r="S122" s="15"/>
      <c r="T122" s="16" t="e">
        <f>#REF!-#REF!</f>
        <v>#REF!</v>
      </c>
      <c r="W122" s="44"/>
      <c r="X122" s="44"/>
      <c r="AA122" s="19"/>
    </row>
    <row r="123" spans="1:27" s="33" customFormat="1" ht="18" customHeight="1" x14ac:dyDescent="0.2">
      <c r="A123" s="50" t="s">
        <v>16</v>
      </c>
      <c r="B123" s="51"/>
      <c r="C123" s="52"/>
      <c r="D123" s="57"/>
      <c r="E123" s="52" t="s">
        <v>197</v>
      </c>
      <c r="F123" s="59"/>
      <c r="G123" s="15">
        <f t="shared" ref="G123:K123" si="51">G124+G125</f>
        <v>0</v>
      </c>
      <c r="H123" s="15">
        <f t="shared" si="51"/>
        <v>0</v>
      </c>
      <c r="I123" s="15">
        <f t="shared" si="51"/>
        <v>0</v>
      </c>
      <c r="J123" s="15">
        <f t="shared" si="51"/>
        <v>0</v>
      </c>
      <c r="K123" s="15">
        <f t="shared" si="51"/>
        <v>2527.2399999999998</v>
      </c>
      <c r="L123" s="15">
        <f>L124+L125</f>
        <v>-412.86999999999989</v>
      </c>
      <c r="M123" s="12">
        <f t="shared" si="33"/>
        <v>0</v>
      </c>
      <c r="N123" s="12">
        <f t="shared" si="34"/>
        <v>0</v>
      </c>
      <c r="O123" s="13">
        <f t="shared" si="28"/>
        <v>2527.2399999999998</v>
      </c>
      <c r="P123" s="13">
        <f t="shared" si="29"/>
        <v>2527.2399999999998</v>
      </c>
      <c r="Q123" s="14"/>
      <c r="R123" s="14"/>
      <c r="S123" s="15"/>
      <c r="T123" s="16" t="e">
        <f>#REF!-#REF!</f>
        <v>#REF!</v>
      </c>
      <c r="W123" s="34"/>
      <c r="X123" s="34"/>
      <c r="AA123" s="19"/>
    </row>
    <row r="124" spans="1:27" s="43" customFormat="1" ht="18" customHeight="1" x14ac:dyDescent="0.2">
      <c r="A124" s="53" t="s">
        <v>16</v>
      </c>
      <c r="B124" s="54"/>
      <c r="C124" s="55"/>
      <c r="D124" s="49"/>
      <c r="E124" s="52"/>
      <c r="F124" s="65" t="s">
        <v>198</v>
      </c>
      <c r="G124" s="39">
        <f>-L125</f>
        <v>6897.17</v>
      </c>
      <c r="H124" s="39">
        <f t="shared" ref="H124:J125" si="52">G124</f>
        <v>6897.17</v>
      </c>
      <c r="I124" s="39">
        <f t="shared" si="52"/>
        <v>6897.17</v>
      </c>
      <c r="J124" s="39">
        <f t="shared" si="52"/>
        <v>6897.17</v>
      </c>
      <c r="K124" s="39">
        <f>J124</f>
        <v>6897.17</v>
      </c>
      <c r="L124" s="39">
        <v>6484.3</v>
      </c>
      <c r="M124" s="12">
        <f t="shared" si="33"/>
        <v>0</v>
      </c>
      <c r="N124" s="12">
        <f t="shared" si="34"/>
        <v>0</v>
      </c>
      <c r="O124" s="13">
        <f t="shared" si="28"/>
        <v>0</v>
      </c>
      <c r="P124" s="13">
        <f t="shared" si="29"/>
        <v>0</v>
      </c>
      <c r="Q124" s="14"/>
      <c r="R124" s="14"/>
      <c r="S124" s="15"/>
      <c r="T124" s="16" t="e">
        <f>#REF!-#REF!</f>
        <v>#REF!</v>
      </c>
      <c r="W124" s="44"/>
      <c r="X124" s="44"/>
      <c r="AA124" s="19"/>
    </row>
    <row r="125" spans="1:27" s="43" customFormat="1" ht="18" customHeight="1" x14ac:dyDescent="0.2">
      <c r="A125" s="53" t="s">
        <v>16</v>
      </c>
      <c r="B125" s="54"/>
      <c r="C125" s="55"/>
      <c r="D125" s="49"/>
      <c r="E125" s="52"/>
      <c r="F125" s="65" t="s">
        <v>199</v>
      </c>
      <c r="G125" s="39">
        <f>L125</f>
        <v>-6897.17</v>
      </c>
      <c r="H125" s="39">
        <f t="shared" si="52"/>
        <v>-6897.17</v>
      </c>
      <c r="I125" s="39">
        <f t="shared" si="52"/>
        <v>-6897.17</v>
      </c>
      <c r="J125" s="39">
        <f t="shared" si="52"/>
        <v>-6897.17</v>
      </c>
      <c r="K125" s="39">
        <v>-4369.93</v>
      </c>
      <c r="L125" s="39">
        <v>-6897.17</v>
      </c>
      <c r="M125" s="12">
        <f t="shared" si="33"/>
        <v>0</v>
      </c>
      <c r="N125" s="12">
        <f t="shared" si="34"/>
        <v>0</v>
      </c>
      <c r="O125" s="13">
        <f t="shared" si="28"/>
        <v>2527.2399999999998</v>
      </c>
      <c r="P125" s="13">
        <f t="shared" si="29"/>
        <v>2527.2399999999998</v>
      </c>
      <c r="Q125" s="14"/>
      <c r="R125" s="14"/>
      <c r="S125" s="15"/>
      <c r="T125" s="16" t="e">
        <f>#REF!-#REF!</f>
        <v>#REF!</v>
      </c>
      <c r="W125" s="44"/>
      <c r="X125" s="44"/>
      <c r="AA125" s="19"/>
    </row>
    <row r="126" spans="1:27" s="33" customFormat="1" ht="18" customHeight="1" x14ac:dyDescent="0.2">
      <c r="A126" s="50" t="s">
        <v>16</v>
      </c>
      <c r="B126" s="51"/>
      <c r="C126" s="52"/>
      <c r="D126" s="57"/>
      <c r="E126" s="52" t="s">
        <v>200</v>
      </c>
      <c r="F126" s="59"/>
      <c r="G126" s="15">
        <f t="shared" ref="G126:K126" si="53">G127+G128</f>
        <v>0</v>
      </c>
      <c r="H126" s="15">
        <f t="shared" si="53"/>
        <v>0</v>
      </c>
      <c r="I126" s="15">
        <f t="shared" si="53"/>
        <v>0</v>
      </c>
      <c r="J126" s="15">
        <f t="shared" si="53"/>
        <v>0</v>
      </c>
      <c r="K126" s="15">
        <f t="shared" si="53"/>
        <v>252.69999999999982</v>
      </c>
      <c r="L126" s="15">
        <f>L127+L128</f>
        <v>4882.2400000000007</v>
      </c>
      <c r="M126" s="12">
        <f t="shared" si="33"/>
        <v>0</v>
      </c>
      <c r="N126" s="12">
        <f t="shared" si="34"/>
        <v>0</v>
      </c>
      <c r="O126" s="13">
        <f t="shared" si="28"/>
        <v>252.69999999999982</v>
      </c>
      <c r="P126" s="13">
        <f t="shared" si="29"/>
        <v>252.69999999999982</v>
      </c>
      <c r="Q126" s="14"/>
      <c r="R126" s="14"/>
      <c r="S126" s="15"/>
      <c r="T126" s="16" t="e">
        <f>#REF!-#REF!</f>
        <v>#REF!</v>
      </c>
      <c r="W126" s="34"/>
      <c r="X126" s="34"/>
      <c r="AA126" s="19"/>
    </row>
    <row r="127" spans="1:27" s="43" customFormat="1" ht="18" customHeight="1" x14ac:dyDescent="0.2">
      <c r="A127" s="53" t="s">
        <v>16</v>
      </c>
      <c r="B127" s="54"/>
      <c r="C127" s="55"/>
      <c r="D127" s="49"/>
      <c r="E127" s="52"/>
      <c r="F127" s="65" t="s">
        <v>201</v>
      </c>
      <c r="G127" s="39">
        <f>-L128</f>
        <v>5566.11</v>
      </c>
      <c r="H127" s="39">
        <f t="shared" ref="H127:J128" si="54">G127</f>
        <v>5566.11</v>
      </c>
      <c r="I127" s="39">
        <f t="shared" si="54"/>
        <v>5566.11</v>
      </c>
      <c r="J127" s="39">
        <f t="shared" si="54"/>
        <v>5566.11</v>
      </c>
      <c r="K127" s="39">
        <f>J127</f>
        <v>5566.11</v>
      </c>
      <c r="L127" s="39">
        <v>10448.35</v>
      </c>
      <c r="M127" s="12">
        <f t="shared" si="33"/>
        <v>0</v>
      </c>
      <c r="N127" s="12">
        <f t="shared" si="34"/>
        <v>0</v>
      </c>
      <c r="O127" s="13">
        <f t="shared" si="28"/>
        <v>0</v>
      </c>
      <c r="P127" s="13">
        <f t="shared" si="29"/>
        <v>0</v>
      </c>
      <c r="Q127" s="14"/>
      <c r="R127" s="14"/>
      <c r="S127" s="15"/>
      <c r="T127" s="16" t="e">
        <f>#REF!-#REF!</f>
        <v>#REF!</v>
      </c>
      <c r="W127" s="44"/>
      <c r="X127" s="44"/>
      <c r="AA127" s="19"/>
    </row>
    <row r="128" spans="1:27" s="43" customFormat="1" ht="18" customHeight="1" x14ac:dyDescent="0.2">
      <c r="A128" s="53" t="s">
        <v>16</v>
      </c>
      <c r="B128" s="54"/>
      <c r="C128" s="55"/>
      <c r="D128" s="49"/>
      <c r="E128" s="52"/>
      <c r="F128" s="65" t="s">
        <v>202</v>
      </c>
      <c r="G128" s="39">
        <f>L128</f>
        <v>-5566.11</v>
      </c>
      <c r="H128" s="39">
        <f t="shared" si="54"/>
        <v>-5566.11</v>
      </c>
      <c r="I128" s="39">
        <f t="shared" si="54"/>
        <v>-5566.11</v>
      </c>
      <c r="J128" s="39">
        <f t="shared" si="54"/>
        <v>-5566.11</v>
      </c>
      <c r="K128" s="39">
        <v>-5313.41</v>
      </c>
      <c r="L128" s="39">
        <v>-5566.11</v>
      </c>
      <c r="M128" s="12">
        <f t="shared" si="33"/>
        <v>0</v>
      </c>
      <c r="N128" s="12">
        <f t="shared" si="34"/>
        <v>0</v>
      </c>
      <c r="O128" s="13">
        <f t="shared" si="28"/>
        <v>252.69999999999982</v>
      </c>
      <c r="P128" s="13">
        <f t="shared" si="29"/>
        <v>252.69999999999982</v>
      </c>
      <c r="Q128" s="14"/>
      <c r="R128" s="14"/>
      <c r="S128" s="15"/>
      <c r="T128" s="16" t="e">
        <f>#REF!-#REF!</f>
        <v>#REF!</v>
      </c>
      <c r="W128" s="44"/>
      <c r="X128" s="44"/>
      <c r="AA128" s="19"/>
    </row>
    <row r="129" spans="1:29" s="33" customFormat="1" ht="18" customHeight="1" x14ac:dyDescent="0.2">
      <c r="A129" s="50" t="s">
        <v>16</v>
      </c>
      <c r="B129" s="51"/>
      <c r="C129" s="52"/>
      <c r="D129" s="57"/>
      <c r="E129" s="52" t="s">
        <v>203</v>
      </c>
      <c r="F129" s="59"/>
      <c r="G129" s="15">
        <f>G130+G131</f>
        <v>11000</v>
      </c>
      <c r="H129" s="15">
        <f t="shared" ref="H129:N129" si="55">H130+H131</f>
        <v>11000</v>
      </c>
      <c r="I129" s="15">
        <f t="shared" si="55"/>
        <v>11000</v>
      </c>
      <c r="J129" s="15">
        <f t="shared" si="55"/>
        <v>11000</v>
      </c>
      <c r="K129" s="15">
        <f t="shared" si="55"/>
        <v>3147.25</v>
      </c>
      <c r="L129" s="15">
        <f t="shared" si="55"/>
        <v>41206.26</v>
      </c>
      <c r="M129" s="15">
        <f t="shared" si="55"/>
        <v>0</v>
      </c>
      <c r="N129" s="15">
        <f t="shared" si="55"/>
        <v>0</v>
      </c>
      <c r="O129" s="13">
        <f t="shared" si="28"/>
        <v>-7852.75</v>
      </c>
      <c r="P129" s="13">
        <f t="shared" si="29"/>
        <v>-7852.75</v>
      </c>
      <c r="Q129" s="14"/>
      <c r="R129" s="14"/>
      <c r="S129" s="15"/>
      <c r="T129" s="16" t="e">
        <f>#REF!-#REF!</f>
        <v>#REF!</v>
      </c>
      <c r="W129" s="34"/>
      <c r="X129" s="34"/>
      <c r="AA129" s="19"/>
      <c r="AB129" s="43"/>
    </row>
    <row r="130" spans="1:29" s="43" customFormat="1" ht="18" customHeight="1" x14ac:dyDescent="0.2">
      <c r="A130" s="53" t="s">
        <v>16</v>
      </c>
      <c r="B130" s="54"/>
      <c r="C130" s="55"/>
      <c r="D130" s="49"/>
      <c r="E130" s="52"/>
      <c r="F130" s="65" t="s">
        <v>204</v>
      </c>
      <c r="G130" s="39">
        <v>61390.48</v>
      </c>
      <c r="H130" s="39">
        <f>-L131</f>
        <v>20184.22</v>
      </c>
      <c r="I130" s="39">
        <f t="shared" ref="I130:K131" si="56">H130</f>
        <v>20184.22</v>
      </c>
      <c r="J130" s="39">
        <f t="shared" si="56"/>
        <v>20184.22</v>
      </c>
      <c r="K130" s="39">
        <f t="shared" si="56"/>
        <v>20184.22</v>
      </c>
      <c r="L130" s="39">
        <v>61390.48</v>
      </c>
      <c r="M130" s="12">
        <f t="shared" ref="M130:M147" si="57">J130-I130</f>
        <v>0</v>
      </c>
      <c r="N130" s="12">
        <f t="shared" ref="N130:N193" si="58">J130-G130</f>
        <v>-41206.26</v>
      </c>
      <c r="O130" s="13">
        <f t="shared" ref="O130:O193" si="59">K130-J130</f>
        <v>0</v>
      </c>
      <c r="P130" s="13">
        <f t="shared" ref="P130:P193" si="60">K130-G130</f>
        <v>-41206.26</v>
      </c>
      <c r="Q130" s="78" t="s">
        <v>205</v>
      </c>
      <c r="R130" s="79" t="s">
        <v>206</v>
      </c>
      <c r="S130" s="15"/>
      <c r="T130" s="16" t="e">
        <f>#REF!-#REF!</f>
        <v>#REF!</v>
      </c>
      <c r="U130" s="70">
        <v>61390.48</v>
      </c>
      <c r="V130" s="43" t="s">
        <v>207</v>
      </c>
      <c r="W130" s="44"/>
      <c r="X130" s="44"/>
      <c r="AA130" s="19"/>
    </row>
    <row r="131" spans="1:29" s="43" customFormat="1" ht="18" customHeight="1" x14ac:dyDescent="0.2">
      <c r="A131" s="53" t="s">
        <v>16</v>
      </c>
      <c r="B131" s="54"/>
      <c r="C131" s="55"/>
      <c r="D131" s="49"/>
      <c r="E131" s="52"/>
      <c r="F131" s="65" t="s">
        <v>208</v>
      </c>
      <c r="G131" s="39">
        <v>-50390.48</v>
      </c>
      <c r="H131" s="39">
        <f>-(H130-G129)</f>
        <v>-9184.2200000000012</v>
      </c>
      <c r="I131" s="39">
        <f t="shared" si="56"/>
        <v>-9184.2200000000012</v>
      </c>
      <c r="J131" s="39">
        <f t="shared" si="56"/>
        <v>-9184.2200000000012</v>
      </c>
      <c r="K131" s="39">
        <v>-17036.97</v>
      </c>
      <c r="L131" s="39">
        <v>-20184.22</v>
      </c>
      <c r="M131" s="12">
        <f t="shared" si="57"/>
        <v>0</v>
      </c>
      <c r="N131" s="12">
        <f t="shared" si="58"/>
        <v>41206.26</v>
      </c>
      <c r="O131" s="13">
        <f t="shared" si="59"/>
        <v>-7852.75</v>
      </c>
      <c r="P131" s="13">
        <f t="shared" si="60"/>
        <v>33353.51</v>
      </c>
      <c r="Q131" s="14"/>
      <c r="R131" s="14"/>
      <c r="S131" s="15"/>
      <c r="T131" s="16" t="e">
        <f>#REF!-#REF!</f>
        <v>#REF!</v>
      </c>
      <c r="U131" s="70">
        <v>9200</v>
      </c>
      <c r="W131" s="44"/>
      <c r="X131" s="44"/>
      <c r="AA131" s="19"/>
    </row>
    <row r="132" spans="1:29" s="17" customFormat="1" ht="18" customHeight="1" x14ac:dyDescent="0.2">
      <c r="A132" s="20" t="s">
        <v>16</v>
      </c>
      <c r="B132" s="21"/>
      <c r="C132" s="63" t="s">
        <v>209</v>
      </c>
      <c r="D132" s="63"/>
      <c r="E132" s="66"/>
      <c r="F132" s="22"/>
      <c r="G132" s="11">
        <f t="shared" ref="G132:K132" si="61">G133+G151+G161+G172+G182+G200+G210</f>
        <v>1998100</v>
      </c>
      <c r="H132" s="11">
        <f t="shared" si="61"/>
        <v>2055060</v>
      </c>
      <c r="I132" s="11">
        <f t="shared" si="61"/>
        <v>2045160</v>
      </c>
      <c r="J132" s="11">
        <f t="shared" si="61"/>
        <v>1999248.13</v>
      </c>
      <c r="K132" s="11">
        <f t="shared" si="61"/>
        <v>1998586.63</v>
      </c>
      <c r="L132" s="11">
        <f>L133+L151+L161+L172+L182+L200+L210</f>
        <v>1829419.73</v>
      </c>
      <c r="M132" s="12">
        <f t="shared" si="57"/>
        <v>-45911.870000000112</v>
      </c>
      <c r="N132" s="12">
        <f t="shared" si="58"/>
        <v>1148.1299999998882</v>
      </c>
      <c r="O132" s="13">
        <f t="shared" si="59"/>
        <v>-661.5</v>
      </c>
      <c r="P132" s="13">
        <f t="shared" si="60"/>
        <v>486.62999999988824</v>
      </c>
      <c r="Q132" s="14"/>
      <c r="R132" s="14"/>
      <c r="S132" s="15"/>
      <c r="T132" s="16" t="e">
        <f>#REF!-#REF!</f>
        <v>#REF!</v>
      </c>
      <c r="U132" s="80">
        <f>U130-U131</f>
        <v>52190.48</v>
      </c>
      <c r="V132" s="17" t="s">
        <v>210</v>
      </c>
      <c r="W132" s="18"/>
      <c r="X132" s="18"/>
      <c r="AA132" s="19"/>
    </row>
    <row r="133" spans="1:29" s="17" customFormat="1" ht="18" customHeight="1" x14ac:dyDescent="0.2">
      <c r="A133" s="20" t="s">
        <v>16</v>
      </c>
      <c r="B133" s="48"/>
      <c r="C133" s="49"/>
      <c r="D133" s="49" t="s">
        <v>211</v>
      </c>
      <c r="E133" s="57"/>
      <c r="F133" s="58"/>
      <c r="G133" s="28">
        <f t="shared" ref="G133:K133" si="62">G134+G149</f>
        <v>457700</v>
      </c>
      <c r="H133" s="28">
        <f t="shared" si="62"/>
        <v>452600</v>
      </c>
      <c r="I133" s="28">
        <f t="shared" si="62"/>
        <v>441900</v>
      </c>
      <c r="J133" s="28">
        <f t="shared" si="62"/>
        <v>447580.07</v>
      </c>
      <c r="K133" s="28">
        <f t="shared" si="62"/>
        <v>457976.47999999992</v>
      </c>
      <c r="L133" s="28">
        <f>L134+L149</f>
        <v>399644.91000000003</v>
      </c>
      <c r="M133" s="12">
        <f t="shared" si="57"/>
        <v>5680.070000000007</v>
      </c>
      <c r="N133" s="12">
        <f t="shared" si="58"/>
        <v>-10119.929999999993</v>
      </c>
      <c r="O133" s="13">
        <f t="shared" si="59"/>
        <v>10396.409999999916</v>
      </c>
      <c r="P133" s="13">
        <f t="shared" si="60"/>
        <v>276.47999999992317</v>
      </c>
      <c r="Q133" s="14"/>
      <c r="R133" s="14"/>
      <c r="S133" s="15"/>
      <c r="T133" s="16" t="e">
        <f>#REF!-#REF!</f>
        <v>#REF!</v>
      </c>
      <c r="W133" s="18"/>
      <c r="X133" s="18"/>
      <c r="AA133" s="19"/>
    </row>
    <row r="134" spans="1:29" s="33" customFormat="1" ht="18" customHeight="1" x14ac:dyDescent="0.2">
      <c r="A134" s="50" t="s">
        <v>16</v>
      </c>
      <c r="B134" s="51"/>
      <c r="C134" s="52"/>
      <c r="D134" s="57"/>
      <c r="E134" s="52" t="s">
        <v>212</v>
      </c>
      <c r="F134" s="59"/>
      <c r="G134" s="15">
        <f t="shared" ref="G134:J134" si="63">SUM(G135:G148)</f>
        <v>457700</v>
      </c>
      <c r="H134" s="15">
        <f t="shared" si="63"/>
        <v>452600</v>
      </c>
      <c r="I134" s="15">
        <f t="shared" si="63"/>
        <v>441900</v>
      </c>
      <c r="J134" s="15">
        <f t="shared" si="63"/>
        <v>447580.07</v>
      </c>
      <c r="K134" s="15">
        <f>SUM(K135:K148)</f>
        <v>457976.47999999992</v>
      </c>
      <c r="L134" s="15">
        <f>SUM(L135:L147)</f>
        <v>399644.91000000003</v>
      </c>
      <c r="M134" s="12">
        <f t="shared" si="57"/>
        <v>5680.070000000007</v>
      </c>
      <c r="N134" s="12">
        <f t="shared" si="58"/>
        <v>-10119.929999999993</v>
      </c>
      <c r="O134" s="13">
        <f t="shared" si="59"/>
        <v>10396.409999999916</v>
      </c>
      <c r="P134" s="13">
        <f t="shared" si="60"/>
        <v>276.47999999992317</v>
      </c>
      <c r="Q134" s="14"/>
      <c r="R134" s="14"/>
      <c r="S134" s="15"/>
      <c r="T134" s="16" t="e">
        <f>#REF!-#REF!</f>
        <v>#REF!</v>
      </c>
      <c r="W134" s="34"/>
      <c r="X134" s="34"/>
      <c r="AA134" s="19"/>
    </row>
    <row r="135" spans="1:29" s="43" customFormat="1" ht="18" customHeight="1" x14ac:dyDescent="0.2">
      <c r="A135" s="53" t="s">
        <v>16</v>
      </c>
      <c r="B135" s="54"/>
      <c r="C135" s="55"/>
      <c r="D135" s="49"/>
      <c r="E135" s="52"/>
      <c r="F135" s="65" t="s">
        <v>213</v>
      </c>
      <c r="G135" s="39">
        <v>6900</v>
      </c>
      <c r="H135" s="39">
        <f>G135</f>
        <v>6900</v>
      </c>
      <c r="I135" s="39">
        <v>4200</v>
      </c>
      <c r="J135" s="39">
        <v>4000</v>
      </c>
      <c r="K135" s="39">
        <v>4000</v>
      </c>
      <c r="L135" s="39">
        <v>6139</v>
      </c>
      <c r="M135" s="12">
        <f t="shared" si="57"/>
        <v>-200</v>
      </c>
      <c r="N135" s="12">
        <f t="shared" si="58"/>
        <v>-2900</v>
      </c>
      <c r="O135" s="13">
        <f t="shared" si="59"/>
        <v>0</v>
      </c>
      <c r="P135" s="13">
        <f t="shared" si="60"/>
        <v>-2900</v>
      </c>
      <c r="Q135" s="14"/>
      <c r="R135" s="81"/>
      <c r="S135" s="35"/>
      <c r="T135" s="16" t="e">
        <f>#REF!-#REF!</f>
        <v>#REF!</v>
      </c>
      <c r="W135" s="44"/>
      <c r="X135" s="44"/>
      <c r="AA135" s="19"/>
    </row>
    <row r="136" spans="1:29" s="43" customFormat="1" ht="18" customHeight="1" x14ac:dyDescent="0.2">
      <c r="A136" s="53" t="s">
        <v>16</v>
      </c>
      <c r="B136" s="54"/>
      <c r="C136" s="55"/>
      <c r="D136" s="49"/>
      <c r="E136" s="52"/>
      <c r="F136" s="65" t="s">
        <v>214</v>
      </c>
      <c r="G136" s="39">
        <v>174500</v>
      </c>
      <c r="H136" s="39">
        <f>CEILING((131900+(35*36*16)),100)</f>
        <v>152100</v>
      </c>
      <c r="I136" s="39">
        <v>135000</v>
      </c>
      <c r="J136" s="39">
        <v>146534.26</v>
      </c>
      <c r="K136" s="39">
        <v>150634.4</v>
      </c>
      <c r="L136" s="39">
        <v>153847.26999999999</v>
      </c>
      <c r="M136" s="12">
        <f t="shared" si="57"/>
        <v>11534.260000000009</v>
      </c>
      <c r="N136" s="12">
        <f t="shared" si="58"/>
        <v>-27965.739999999991</v>
      </c>
      <c r="O136" s="13">
        <f t="shared" si="59"/>
        <v>4100.1399999999849</v>
      </c>
      <c r="P136" s="13">
        <f t="shared" si="60"/>
        <v>-23865.600000000006</v>
      </c>
      <c r="Q136" s="14"/>
      <c r="R136" s="45" t="s">
        <v>215</v>
      </c>
      <c r="S136" s="15" t="s">
        <v>216</v>
      </c>
      <c r="T136" s="16" t="e">
        <f>#REF!-#REF!</f>
        <v>#REF!</v>
      </c>
      <c r="W136" s="44"/>
      <c r="X136" s="44"/>
      <c r="AA136" s="19"/>
    </row>
    <row r="137" spans="1:29" s="43" customFormat="1" ht="18" customHeight="1" x14ac:dyDescent="0.2">
      <c r="A137" s="53" t="s">
        <v>16</v>
      </c>
      <c r="B137" s="54"/>
      <c r="C137" s="55"/>
      <c r="D137" s="49"/>
      <c r="E137" s="52"/>
      <c r="F137" s="65" t="s">
        <v>217</v>
      </c>
      <c r="G137" s="39">
        <v>13500</v>
      </c>
      <c r="H137" s="39">
        <f>G137</f>
        <v>13500</v>
      </c>
      <c r="I137" s="39">
        <v>11400</v>
      </c>
      <c r="J137" s="39">
        <v>10727</v>
      </c>
      <c r="K137" s="39">
        <v>10727</v>
      </c>
      <c r="L137" s="39">
        <v>10498</v>
      </c>
      <c r="M137" s="12">
        <f t="shared" si="57"/>
        <v>-673</v>
      </c>
      <c r="N137" s="12">
        <f t="shared" si="58"/>
        <v>-2773</v>
      </c>
      <c r="O137" s="13">
        <f t="shared" si="59"/>
        <v>0</v>
      </c>
      <c r="P137" s="13">
        <f t="shared" si="60"/>
        <v>-2773</v>
      </c>
      <c r="Q137" s="14"/>
      <c r="R137" s="14"/>
      <c r="S137" s="15"/>
      <c r="T137" s="16" t="e">
        <f>#REF!-#REF!</f>
        <v>#REF!</v>
      </c>
      <c r="W137" s="44"/>
      <c r="X137" s="44"/>
      <c r="AA137" s="19"/>
    </row>
    <row r="138" spans="1:29" s="43" customFormat="1" ht="18" hidden="1" customHeight="1" x14ac:dyDescent="0.2">
      <c r="A138" s="53" t="s">
        <v>16</v>
      </c>
      <c r="B138" s="54"/>
      <c r="C138" s="55"/>
      <c r="D138" s="49"/>
      <c r="E138" s="52"/>
      <c r="F138" s="65" t="s">
        <v>218</v>
      </c>
      <c r="G138" s="60"/>
      <c r="H138" s="60"/>
      <c r="I138" s="39">
        <f t="shared" ref="I138:J150" si="64">H138</f>
        <v>0</v>
      </c>
      <c r="J138" s="39">
        <f t="shared" si="64"/>
        <v>0</v>
      </c>
      <c r="K138" s="39"/>
      <c r="L138" s="60"/>
      <c r="M138" s="12">
        <f t="shared" si="57"/>
        <v>0</v>
      </c>
      <c r="N138" s="12">
        <f t="shared" si="58"/>
        <v>0</v>
      </c>
      <c r="O138" s="13">
        <f t="shared" si="59"/>
        <v>0</v>
      </c>
      <c r="P138" s="13">
        <f t="shared" si="60"/>
        <v>0</v>
      </c>
      <c r="Q138" s="14"/>
      <c r="R138" s="14"/>
      <c r="S138" s="15"/>
      <c r="T138" s="16" t="e">
        <f>#REF!-#REF!</f>
        <v>#REF!</v>
      </c>
      <c r="W138" s="44"/>
      <c r="X138" s="44"/>
      <c r="AA138" s="19"/>
    </row>
    <row r="139" spans="1:29" s="43" customFormat="1" ht="18" customHeight="1" x14ac:dyDescent="0.2">
      <c r="A139" s="53" t="s">
        <v>16</v>
      </c>
      <c r="B139" s="54"/>
      <c r="C139" s="55"/>
      <c r="D139" s="49"/>
      <c r="E139" s="52"/>
      <c r="F139" s="65" t="s">
        <v>219</v>
      </c>
      <c r="G139" s="39">
        <v>4900</v>
      </c>
      <c r="H139" s="39">
        <f>G139</f>
        <v>4900</v>
      </c>
      <c r="I139" s="39">
        <f t="shared" si="64"/>
        <v>4900</v>
      </c>
      <c r="J139" s="39">
        <f t="shared" si="64"/>
        <v>4900</v>
      </c>
      <c r="K139" s="39">
        <v>4800</v>
      </c>
      <c r="L139" s="39">
        <v>4900</v>
      </c>
      <c r="M139" s="12">
        <f t="shared" si="57"/>
        <v>0</v>
      </c>
      <c r="N139" s="12">
        <f t="shared" si="58"/>
        <v>0</v>
      </c>
      <c r="O139" s="13">
        <f t="shared" si="59"/>
        <v>-100</v>
      </c>
      <c r="P139" s="13">
        <f t="shared" si="60"/>
        <v>-100</v>
      </c>
      <c r="Q139" s="14"/>
      <c r="R139" s="45" t="s">
        <v>220</v>
      </c>
      <c r="S139" s="15"/>
      <c r="T139" s="16" t="e">
        <f>#REF!-#REF!</f>
        <v>#REF!</v>
      </c>
      <c r="W139" s="44"/>
      <c r="X139" s="44"/>
      <c r="AA139" s="19"/>
    </row>
    <row r="140" spans="1:29" s="43" customFormat="1" ht="18" customHeight="1" x14ac:dyDescent="0.2">
      <c r="A140" s="53" t="s">
        <v>16</v>
      </c>
      <c r="B140" s="54"/>
      <c r="C140" s="55"/>
      <c r="D140" s="49"/>
      <c r="E140" s="52"/>
      <c r="F140" s="65" t="s">
        <v>221</v>
      </c>
      <c r="G140" s="39">
        <v>5300</v>
      </c>
      <c r="H140" s="39">
        <v>2100</v>
      </c>
      <c r="I140" s="39">
        <f t="shared" si="64"/>
        <v>2100</v>
      </c>
      <c r="J140" s="39">
        <f t="shared" si="64"/>
        <v>2100</v>
      </c>
      <c r="K140" s="39">
        <v>2095.8000000000002</v>
      </c>
      <c r="L140" s="39">
        <v>4987.5</v>
      </c>
      <c r="M140" s="12">
        <f t="shared" si="57"/>
        <v>0</v>
      </c>
      <c r="N140" s="12">
        <f t="shared" si="58"/>
        <v>-3200</v>
      </c>
      <c r="O140" s="13">
        <f t="shared" si="59"/>
        <v>-4.1999999999998181</v>
      </c>
      <c r="P140" s="13">
        <f t="shared" si="60"/>
        <v>-3204.2</v>
      </c>
      <c r="Q140" s="45" t="s">
        <v>222</v>
      </c>
      <c r="R140" s="45" t="s">
        <v>223</v>
      </c>
      <c r="S140" s="15"/>
      <c r="T140" s="16" t="e">
        <f>#REF!-#REF!</f>
        <v>#REF!</v>
      </c>
      <c r="W140" s="44"/>
      <c r="X140" s="44"/>
      <c r="AA140" s="19"/>
    </row>
    <row r="141" spans="1:29" s="43" customFormat="1" ht="18" hidden="1" customHeight="1" x14ac:dyDescent="0.2">
      <c r="A141" s="53" t="s">
        <v>16</v>
      </c>
      <c r="B141" s="54"/>
      <c r="C141" s="55"/>
      <c r="D141" s="49"/>
      <c r="E141" s="52"/>
      <c r="F141" s="65" t="s">
        <v>224</v>
      </c>
      <c r="G141" s="39"/>
      <c r="H141" s="39"/>
      <c r="I141" s="39">
        <f t="shared" si="64"/>
        <v>0</v>
      </c>
      <c r="J141" s="39">
        <f t="shared" si="64"/>
        <v>0</v>
      </c>
      <c r="K141" s="39"/>
      <c r="L141" s="39"/>
      <c r="M141" s="12">
        <f t="shared" si="57"/>
        <v>0</v>
      </c>
      <c r="N141" s="12">
        <f t="shared" si="58"/>
        <v>0</v>
      </c>
      <c r="O141" s="13">
        <f t="shared" si="59"/>
        <v>0</v>
      </c>
      <c r="P141" s="13">
        <f t="shared" si="60"/>
        <v>0</v>
      </c>
      <c r="Q141" s="14"/>
      <c r="R141" s="14"/>
      <c r="S141" s="15"/>
      <c r="T141" s="16" t="e">
        <f>#REF!-#REF!</f>
        <v>#REF!</v>
      </c>
      <c r="W141" s="44"/>
      <c r="X141" s="44"/>
      <c r="AA141" s="19"/>
    </row>
    <row r="142" spans="1:29" s="43" customFormat="1" ht="18" customHeight="1" x14ac:dyDescent="0.2">
      <c r="A142" s="53" t="s">
        <v>16</v>
      </c>
      <c r="B142" s="54"/>
      <c r="C142" s="55"/>
      <c r="D142" s="49"/>
      <c r="E142" s="52"/>
      <c r="F142" s="65" t="s">
        <v>225</v>
      </c>
      <c r="G142" s="39">
        <v>27600</v>
      </c>
      <c r="H142" s="39">
        <f>G142</f>
        <v>27600</v>
      </c>
      <c r="I142" s="39">
        <f t="shared" si="64"/>
        <v>27600</v>
      </c>
      <c r="J142" s="39">
        <v>25362.51</v>
      </c>
      <c r="K142" s="39">
        <v>25637.91</v>
      </c>
      <c r="L142" s="39">
        <v>28825.67</v>
      </c>
      <c r="M142" s="12">
        <f t="shared" si="57"/>
        <v>-2237.4900000000016</v>
      </c>
      <c r="N142" s="12">
        <f t="shared" si="58"/>
        <v>-2237.4900000000016</v>
      </c>
      <c r="O142" s="13">
        <f t="shared" si="59"/>
        <v>275.40000000000146</v>
      </c>
      <c r="P142" s="13">
        <f t="shared" si="60"/>
        <v>-1962.0900000000001</v>
      </c>
      <c r="Q142" s="14"/>
      <c r="R142" s="14"/>
      <c r="S142" s="15"/>
      <c r="T142" s="16" t="e">
        <f>#REF!-#REF!</f>
        <v>#REF!</v>
      </c>
      <c r="W142" s="44"/>
      <c r="X142" s="44"/>
      <c r="AA142" s="19"/>
    </row>
    <row r="143" spans="1:29" s="43" customFormat="1" ht="18" customHeight="1" x14ac:dyDescent="0.2">
      <c r="A143" s="53" t="s">
        <v>16</v>
      </c>
      <c r="B143" s="54"/>
      <c r="C143" s="55"/>
      <c r="D143" s="49"/>
      <c r="E143" s="52"/>
      <c r="F143" s="65" t="s">
        <v>226</v>
      </c>
      <c r="G143" s="39">
        <v>219100</v>
      </c>
      <c r="H143" s="39">
        <v>240000</v>
      </c>
      <c r="I143" s="39">
        <v>251200</v>
      </c>
      <c r="J143" s="39">
        <v>246200</v>
      </c>
      <c r="K143" s="39">
        <v>252527.21</v>
      </c>
      <c r="L143" s="39">
        <v>188084.59</v>
      </c>
      <c r="M143" s="12">
        <f t="shared" si="57"/>
        <v>-5000</v>
      </c>
      <c r="N143" s="12">
        <f t="shared" si="58"/>
        <v>27100</v>
      </c>
      <c r="O143" s="13">
        <f t="shared" si="59"/>
        <v>6327.2099999999919</v>
      </c>
      <c r="P143" s="13">
        <f t="shared" si="60"/>
        <v>33427.209999999992</v>
      </c>
      <c r="Q143" s="14"/>
      <c r="R143" s="14"/>
      <c r="S143" s="15"/>
      <c r="T143" s="16" t="e">
        <f>#REF!-#REF!</f>
        <v>#REF!</v>
      </c>
      <c r="U143" s="43" t="s">
        <v>227</v>
      </c>
      <c r="V143" s="70" t="e">
        <f>#REF!-#REF!</f>
        <v>#REF!</v>
      </c>
      <c r="W143" s="44"/>
      <c r="X143" s="44"/>
      <c r="AA143" s="19"/>
      <c r="AB143" s="70"/>
      <c r="AC143" s="70"/>
    </row>
    <row r="144" spans="1:29" s="43" customFormat="1" ht="18" hidden="1" customHeight="1" x14ac:dyDescent="0.2">
      <c r="A144" s="53"/>
      <c r="B144" s="54"/>
      <c r="C144" s="55"/>
      <c r="D144" s="49"/>
      <c r="E144" s="52"/>
      <c r="F144" s="65" t="s">
        <v>228</v>
      </c>
      <c r="G144" s="39"/>
      <c r="H144" s="39"/>
      <c r="I144" s="39">
        <f t="shared" si="64"/>
        <v>0</v>
      </c>
      <c r="J144" s="39">
        <f t="shared" si="64"/>
        <v>0</v>
      </c>
      <c r="K144" s="39"/>
      <c r="L144" s="39"/>
      <c r="M144" s="12">
        <f t="shared" si="57"/>
        <v>0</v>
      </c>
      <c r="N144" s="12">
        <f t="shared" si="58"/>
        <v>0</v>
      </c>
      <c r="O144" s="13">
        <f t="shared" si="59"/>
        <v>0</v>
      </c>
      <c r="P144" s="13">
        <f t="shared" si="60"/>
        <v>0</v>
      </c>
      <c r="Q144" s="14"/>
      <c r="R144" s="14"/>
      <c r="S144" s="15"/>
      <c r="T144" s="16" t="e">
        <f>#REF!-#REF!</f>
        <v>#REF!</v>
      </c>
      <c r="W144" s="44"/>
      <c r="X144" s="44"/>
      <c r="AA144" s="19"/>
    </row>
    <row r="145" spans="1:29" s="43" customFormat="1" ht="18" customHeight="1" x14ac:dyDescent="0.2">
      <c r="A145" s="53"/>
      <c r="B145" s="54"/>
      <c r="C145" s="55"/>
      <c r="D145" s="49"/>
      <c r="E145" s="52"/>
      <c r="F145" s="65" t="s">
        <v>229</v>
      </c>
      <c r="G145" s="39">
        <v>5900</v>
      </c>
      <c r="H145" s="39">
        <v>2500</v>
      </c>
      <c r="I145" s="39">
        <v>2500</v>
      </c>
      <c r="J145" s="39">
        <v>2088.3000000000002</v>
      </c>
      <c r="K145" s="39">
        <v>2136.16</v>
      </c>
      <c r="L145" s="39">
        <v>2362.88</v>
      </c>
      <c r="M145" s="12">
        <f t="shared" si="57"/>
        <v>-411.69999999999982</v>
      </c>
      <c r="N145" s="12">
        <f t="shared" si="58"/>
        <v>-3811.7</v>
      </c>
      <c r="O145" s="13">
        <f t="shared" si="59"/>
        <v>47.859999999999673</v>
      </c>
      <c r="P145" s="13">
        <f t="shared" si="60"/>
        <v>-3763.84</v>
      </c>
      <c r="Q145" s="45" t="s">
        <v>230</v>
      </c>
      <c r="R145" s="14"/>
      <c r="S145" s="15"/>
      <c r="T145" s="16" t="e">
        <f>#REF!-#REF!</f>
        <v>#REF!</v>
      </c>
      <c r="U145" s="43" t="s">
        <v>231</v>
      </c>
      <c r="V145" s="70" t="e">
        <f>#REF!-#REF!</f>
        <v>#REF!</v>
      </c>
      <c r="W145" s="44"/>
      <c r="X145" s="44"/>
      <c r="AA145" s="19"/>
      <c r="AB145" s="70"/>
    </row>
    <row r="146" spans="1:29" s="43" customFormat="1" ht="18" hidden="1" customHeight="1" x14ac:dyDescent="0.2">
      <c r="A146" s="53"/>
      <c r="B146" s="54"/>
      <c r="C146" s="55"/>
      <c r="D146" s="49"/>
      <c r="E146" s="52"/>
      <c r="F146" s="65" t="s">
        <v>232</v>
      </c>
      <c r="G146" s="60"/>
      <c r="H146" s="60"/>
      <c r="I146" s="39">
        <f t="shared" si="64"/>
        <v>0</v>
      </c>
      <c r="J146" s="39">
        <f t="shared" si="64"/>
        <v>0</v>
      </c>
      <c r="K146" s="39"/>
      <c r="L146" s="60"/>
      <c r="M146" s="12">
        <f t="shared" si="57"/>
        <v>0</v>
      </c>
      <c r="N146" s="12">
        <f t="shared" si="58"/>
        <v>0</v>
      </c>
      <c r="O146" s="13">
        <f t="shared" si="59"/>
        <v>0</v>
      </c>
      <c r="P146" s="13">
        <f t="shared" si="60"/>
        <v>0</v>
      </c>
      <c r="Q146" s="14"/>
      <c r="R146" s="14"/>
      <c r="S146" s="15"/>
      <c r="T146" s="16" t="e">
        <f>#REF!-#REF!</f>
        <v>#REF!</v>
      </c>
      <c r="W146" s="44"/>
      <c r="X146" s="44"/>
      <c r="AA146" s="19"/>
    </row>
    <row r="147" spans="1:29" s="43" customFormat="1" ht="18" customHeight="1" x14ac:dyDescent="0.2">
      <c r="A147" s="53"/>
      <c r="B147" s="54"/>
      <c r="C147" s="55"/>
      <c r="D147" s="49"/>
      <c r="E147" s="52"/>
      <c r="F147" s="65" t="s">
        <v>233</v>
      </c>
      <c r="G147" s="39">
        <v>0</v>
      </c>
      <c r="H147" s="39">
        <v>3000</v>
      </c>
      <c r="I147" s="39">
        <f t="shared" si="64"/>
        <v>3000</v>
      </c>
      <c r="J147" s="39">
        <f>2916+(5*50)+2</f>
        <v>3168</v>
      </c>
      <c r="K147" s="39">
        <v>3168</v>
      </c>
      <c r="L147" s="39">
        <v>0</v>
      </c>
      <c r="M147" s="12">
        <f t="shared" si="57"/>
        <v>168</v>
      </c>
      <c r="N147" s="12">
        <f t="shared" si="58"/>
        <v>3168</v>
      </c>
      <c r="O147" s="13">
        <f t="shared" si="59"/>
        <v>0</v>
      </c>
      <c r="P147" s="13">
        <f t="shared" si="60"/>
        <v>3168</v>
      </c>
      <c r="Q147" s="45" t="s">
        <v>234</v>
      </c>
      <c r="R147" s="14"/>
      <c r="S147" s="15"/>
      <c r="T147" s="16" t="e">
        <f>#REF!-#REF!</f>
        <v>#REF!</v>
      </c>
      <c r="W147" s="44"/>
      <c r="X147" s="44"/>
      <c r="AA147" s="19"/>
    </row>
    <row r="148" spans="1:29" s="43" customFormat="1" ht="18" customHeight="1" x14ac:dyDescent="0.2">
      <c r="A148" s="53"/>
      <c r="B148" s="54"/>
      <c r="C148" s="55"/>
      <c r="D148" s="49"/>
      <c r="E148" s="52"/>
      <c r="F148" s="65" t="s">
        <v>235</v>
      </c>
      <c r="G148" s="39">
        <v>0</v>
      </c>
      <c r="H148" s="39"/>
      <c r="I148" s="39">
        <v>0</v>
      </c>
      <c r="J148" s="39">
        <f>50*50</f>
        <v>2500</v>
      </c>
      <c r="K148" s="39">
        <v>2250</v>
      </c>
      <c r="L148" s="39">
        <v>0</v>
      </c>
      <c r="M148" s="12"/>
      <c r="N148" s="12">
        <f t="shared" si="58"/>
        <v>2500</v>
      </c>
      <c r="O148" s="13">
        <f t="shared" si="59"/>
        <v>-250</v>
      </c>
      <c r="P148" s="13">
        <f t="shared" si="60"/>
        <v>2250</v>
      </c>
      <c r="Q148" s="45" t="s">
        <v>234</v>
      </c>
      <c r="R148" s="14"/>
      <c r="S148" s="15"/>
      <c r="T148" s="16"/>
      <c r="W148" s="44"/>
      <c r="X148" s="44"/>
      <c r="AA148" s="19"/>
    </row>
    <row r="149" spans="1:29" s="43" customFormat="1" ht="18" hidden="1" customHeight="1" x14ac:dyDescent="0.2">
      <c r="A149" s="53" t="s">
        <v>16</v>
      </c>
      <c r="B149" s="54"/>
      <c r="C149" s="55"/>
      <c r="D149" s="49"/>
      <c r="E149" s="52" t="s">
        <v>236</v>
      </c>
      <c r="F149" s="59"/>
      <c r="G149" s="15"/>
      <c r="H149" s="15"/>
      <c r="I149" s="39">
        <f t="shared" si="64"/>
        <v>0</v>
      </c>
      <c r="J149" s="39">
        <f t="shared" si="64"/>
        <v>0</v>
      </c>
      <c r="K149" s="39"/>
      <c r="L149" s="15"/>
      <c r="M149" s="12">
        <f t="shared" ref="M149:M212" si="65">J149-I149</f>
        <v>0</v>
      </c>
      <c r="N149" s="12">
        <f t="shared" si="58"/>
        <v>0</v>
      </c>
      <c r="O149" s="13">
        <f t="shared" si="59"/>
        <v>0</v>
      </c>
      <c r="P149" s="13">
        <f t="shared" si="60"/>
        <v>0</v>
      </c>
      <c r="Q149" s="14"/>
      <c r="R149" s="14"/>
      <c r="S149" s="15"/>
      <c r="T149" s="16" t="e">
        <f>#REF!-#REF!</f>
        <v>#REF!</v>
      </c>
      <c r="W149" s="44"/>
      <c r="X149" s="44"/>
      <c r="AA149" s="19"/>
    </row>
    <row r="150" spans="1:29" s="43" customFormat="1" ht="18" hidden="1" customHeight="1" x14ac:dyDescent="0.2">
      <c r="A150" s="53" t="s">
        <v>16</v>
      </c>
      <c r="B150" s="54"/>
      <c r="C150" s="55"/>
      <c r="D150" s="49"/>
      <c r="E150" s="52"/>
      <c r="F150" s="65" t="s">
        <v>237</v>
      </c>
      <c r="G150" s="60"/>
      <c r="H150" s="60"/>
      <c r="I150" s="39">
        <f t="shared" si="64"/>
        <v>0</v>
      </c>
      <c r="J150" s="39">
        <f t="shared" si="64"/>
        <v>0</v>
      </c>
      <c r="K150" s="39"/>
      <c r="L150" s="60"/>
      <c r="M150" s="12">
        <f t="shared" si="65"/>
        <v>0</v>
      </c>
      <c r="N150" s="12">
        <f t="shared" si="58"/>
        <v>0</v>
      </c>
      <c r="O150" s="13">
        <f t="shared" si="59"/>
        <v>0</v>
      </c>
      <c r="P150" s="13">
        <f t="shared" si="60"/>
        <v>0</v>
      </c>
      <c r="Q150" s="14"/>
      <c r="R150" s="14"/>
      <c r="S150" s="15"/>
      <c r="T150" s="16" t="e">
        <f>#REF!-#REF!</f>
        <v>#REF!</v>
      </c>
      <c r="W150" s="44"/>
      <c r="X150" s="44"/>
      <c r="AA150" s="19"/>
    </row>
    <row r="151" spans="1:29" s="17" customFormat="1" ht="18" customHeight="1" x14ac:dyDescent="0.2">
      <c r="A151" s="20" t="s">
        <v>16</v>
      </c>
      <c r="B151" s="48"/>
      <c r="C151" s="49"/>
      <c r="D151" s="49" t="s">
        <v>238</v>
      </c>
      <c r="E151" s="57"/>
      <c r="F151" s="58"/>
      <c r="G151" s="28">
        <f t="shared" ref="G151:K151" si="66">G152</f>
        <v>513100</v>
      </c>
      <c r="H151" s="28">
        <f t="shared" si="66"/>
        <v>502000</v>
      </c>
      <c r="I151" s="28">
        <f t="shared" si="66"/>
        <v>502200</v>
      </c>
      <c r="J151" s="28">
        <f t="shared" si="66"/>
        <v>487800</v>
      </c>
      <c r="K151" s="28">
        <f t="shared" si="66"/>
        <v>487723.81000000006</v>
      </c>
      <c r="L151" s="28">
        <f>L152</f>
        <v>490070.25</v>
      </c>
      <c r="M151" s="12">
        <f t="shared" si="65"/>
        <v>-14400</v>
      </c>
      <c r="N151" s="12">
        <f t="shared" si="58"/>
        <v>-25300</v>
      </c>
      <c r="O151" s="13">
        <f t="shared" si="59"/>
        <v>-76.189999999944121</v>
      </c>
      <c r="P151" s="13">
        <f t="shared" si="60"/>
        <v>-25376.189999999944</v>
      </c>
      <c r="Q151" s="14"/>
      <c r="R151" s="14"/>
      <c r="S151" s="15"/>
      <c r="T151" s="16" t="e">
        <f>#REF!-#REF!</f>
        <v>#REF!</v>
      </c>
      <c r="V151" s="80" t="e">
        <f>V145-V143</f>
        <v>#REF!</v>
      </c>
      <c r="W151" s="18"/>
      <c r="X151" s="18"/>
      <c r="AA151" s="19"/>
    </row>
    <row r="152" spans="1:29" s="33" customFormat="1" ht="18" customHeight="1" x14ac:dyDescent="0.2">
      <c r="A152" s="50" t="s">
        <v>16</v>
      </c>
      <c r="B152" s="51"/>
      <c r="C152" s="52"/>
      <c r="D152" s="57"/>
      <c r="E152" s="52" t="s">
        <v>238</v>
      </c>
      <c r="F152" s="59"/>
      <c r="G152" s="15">
        <f t="shared" ref="G152:K152" si="67">SUM(G153:G160)</f>
        <v>513100</v>
      </c>
      <c r="H152" s="15">
        <f t="shared" si="67"/>
        <v>502000</v>
      </c>
      <c r="I152" s="15">
        <f t="shared" si="67"/>
        <v>502200</v>
      </c>
      <c r="J152" s="15">
        <f t="shared" si="67"/>
        <v>487800</v>
      </c>
      <c r="K152" s="15">
        <f t="shared" si="67"/>
        <v>487723.81000000006</v>
      </c>
      <c r="L152" s="15">
        <f>SUM(L153:L160)</f>
        <v>490070.25</v>
      </c>
      <c r="M152" s="12">
        <f t="shared" si="65"/>
        <v>-14400</v>
      </c>
      <c r="N152" s="12">
        <f t="shared" si="58"/>
        <v>-25300</v>
      </c>
      <c r="O152" s="13">
        <f t="shared" si="59"/>
        <v>-76.189999999944121</v>
      </c>
      <c r="P152" s="13">
        <f t="shared" si="60"/>
        <v>-25376.189999999944</v>
      </c>
      <c r="Q152" s="14"/>
      <c r="R152" s="14"/>
      <c r="S152" s="15"/>
      <c r="T152" s="16" t="e">
        <f>#REF!-#REF!</f>
        <v>#REF!</v>
      </c>
      <c r="W152" s="34"/>
      <c r="X152" s="34"/>
      <c r="AA152" s="19"/>
    </row>
    <row r="153" spans="1:29" s="43" customFormat="1" ht="18" customHeight="1" x14ac:dyDescent="0.2">
      <c r="A153" s="53" t="s">
        <v>16</v>
      </c>
      <c r="B153" s="54"/>
      <c r="C153" s="55"/>
      <c r="D153" s="49"/>
      <c r="E153" s="52"/>
      <c r="F153" s="65" t="s">
        <v>239</v>
      </c>
      <c r="G153" s="39">
        <v>470500</v>
      </c>
      <c r="H153" s="39">
        <f>CEILING((253297.88+((36006.3+180.94)*5)+(11840*1.22*2)),100)</f>
        <v>463200</v>
      </c>
      <c r="I153" s="39">
        <f>CEILING((340117.16+((36006.3+180.94)*3)+14444.8),100)</f>
        <v>463200</v>
      </c>
      <c r="J153" s="39">
        <f>CEILING((412491.64+((36006.3+180.94))),100)</f>
        <v>448700</v>
      </c>
      <c r="K153" s="39">
        <v>448678.88</v>
      </c>
      <c r="L153" s="39">
        <v>459899.69</v>
      </c>
      <c r="M153" s="12">
        <f t="shared" si="65"/>
        <v>-14500</v>
      </c>
      <c r="N153" s="12">
        <f t="shared" si="58"/>
        <v>-21800</v>
      </c>
      <c r="O153" s="13">
        <f t="shared" si="59"/>
        <v>-21.119999999995343</v>
      </c>
      <c r="P153" s="13">
        <f t="shared" si="60"/>
        <v>-21821.119999999995</v>
      </c>
      <c r="Q153" s="45" t="s">
        <v>240</v>
      </c>
      <c r="R153" s="47" t="s">
        <v>241</v>
      </c>
      <c r="S153" s="56" t="s">
        <v>242</v>
      </c>
      <c r="T153" s="16" t="e">
        <f>#REF!-#REF!</f>
        <v>#REF!</v>
      </c>
      <c r="U153" s="43">
        <v>459900</v>
      </c>
      <c r="V153" s="70" t="e">
        <f>U153-#REF!</f>
        <v>#REF!</v>
      </c>
      <c r="W153" s="44"/>
      <c r="X153" s="44"/>
      <c r="AA153" s="19"/>
      <c r="AC153" s="82"/>
    </row>
    <row r="154" spans="1:29" s="43" customFormat="1" ht="18" customHeight="1" x14ac:dyDescent="0.2">
      <c r="A154" s="53" t="s">
        <v>16</v>
      </c>
      <c r="B154" s="54"/>
      <c r="C154" s="55"/>
      <c r="D154" s="49"/>
      <c r="E154" s="52"/>
      <c r="F154" s="65" t="s">
        <v>243</v>
      </c>
      <c r="G154" s="39">
        <v>8000</v>
      </c>
      <c r="H154" s="39">
        <f>CEILING((3457.62+461.16)/7*12,100)</f>
        <v>6800</v>
      </c>
      <c r="I154" s="39">
        <f>CEILING(5368.14/9*12,100)</f>
        <v>7200</v>
      </c>
      <c r="J154" s="39">
        <f>CEILING(6641.82/11*12,100)</f>
        <v>7300</v>
      </c>
      <c r="K154" s="39">
        <v>7146.9</v>
      </c>
      <c r="L154" s="39">
        <v>7579.6</v>
      </c>
      <c r="M154" s="12">
        <f t="shared" si="65"/>
        <v>100</v>
      </c>
      <c r="N154" s="12">
        <f t="shared" si="58"/>
        <v>-700</v>
      </c>
      <c r="O154" s="13">
        <f t="shared" si="59"/>
        <v>-153.10000000000036</v>
      </c>
      <c r="P154" s="13">
        <f t="shared" si="60"/>
        <v>-853.10000000000036</v>
      </c>
      <c r="Q154" s="46"/>
      <c r="R154" s="47" t="s">
        <v>244</v>
      </c>
      <c r="S154" s="15"/>
      <c r="T154" s="16" t="e">
        <f>#REF!-#REF!</f>
        <v>#REF!</v>
      </c>
      <c r="W154" s="44"/>
      <c r="X154" s="44"/>
      <c r="AA154" s="19"/>
      <c r="AC154" s="82"/>
    </row>
    <row r="155" spans="1:29" s="43" customFormat="1" ht="18" hidden="1" customHeight="1" x14ac:dyDescent="0.2">
      <c r="A155" s="53" t="s">
        <v>16</v>
      </c>
      <c r="B155" s="54"/>
      <c r="C155" s="55"/>
      <c r="D155" s="49"/>
      <c r="E155" s="52"/>
      <c r="F155" s="65" t="s">
        <v>245</v>
      </c>
      <c r="G155" s="39"/>
      <c r="H155" s="39"/>
      <c r="I155" s="39">
        <f t="shared" ref="I155:I159" si="68">H155</f>
        <v>0</v>
      </c>
      <c r="J155" s="39"/>
      <c r="K155" s="39"/>
      <c r="L155" s="39"/>
      <c r="M155" s="12">
        <f t="shared" si="65"/>
        <v>0</v>
      </c>
      <c r="N155" s="12">
        <f t="shared" si="58"/>
        <v>0</v>
      </c>
      <c r="O155" s="13">
        <f t="shared" si="59"/>
        <v>0</v>
      </c>
      <c r="P155" s="13">
        <f t="shared" si="60"/>
        <v>0</v>
      </c>
      <c r="Q155" s="14"/>
      <c r="R155" s="14"/>
      <c r="S155" s="15"/>
      <c r="T155" s="16" t="e">
        <f>#REF!-#REF!</f>
        <v>#REF!</v>
      </c>
      <c r="W155" s="44"/>
      <c r="X155" s="44"/>
      <c r="AA155" s="19"/>
      <c r="AC155" s="82"/>
    </row>
    <row r="156" spans="1:29" s="43" customFormat="1" ht="18" hidden="1" customHeight="1" x14ac:dyDescent="0.2">
      <c r="A156" s="53" t="s">
        <v>16</v>
      </c>
      <c r="B156" s="54"/>
      <c r="C156" s="55"/>
      <c r="D156" s="49"/>
      <c r="E156" s="52"/>
      <c r="F156" s="65" t="s">
        <v>246</v>
      </c>
      <c r="G156" s="39"/>
      <c r="H156" s="39"/>
      <c r="I156" s="39">
        <f t="shared" si="68"/>
        <v>0</v>
      </c>
      <c r="J156" s="39"/>
      <c r="K156" s="39"/>
      <c r="L156" s="39"/>
      <c r="M156" s="12">
        <f t="shared" si="65"/>
        <v>0</v>
      </c>
      <c r="N156" s="12">
        <f t="shared" si="58"/>
        <v>0</v>
      </c>
      <c r="O156" s="13">
        <f t="shared" si="59"/>
        <v>0</v>
      </c>
      <c r="P156" s="13">
        <f t="shared" si="60"/>
        <v>0</v>
      </c>
      <c r="Q156" s="14"/>
      <c r="R156" s="14"/>
      <c r="S156" s="15"/>
      <c r="T156" s="16" t="e">
        <f>#REF!-#REF!</f>
        <v>#REF!</v>
      </c>
      <c r="W156" s="44"/>
      <c r="X156" s="44"/>
      <c r="AA156" s="19"/>
      <c r="AC156" s="82"/>
    </row>
    <row r="157" spans="1:29" s="43" customFormat="1" ht="18" hidden="1" customHeight="1" x14ac:dyDescent="0.2">
      <c r="A157" s="53" t="s">
        <v>16</v>
      </c>
      <c r="B157" s="54"/>
      <c r="C157" s="55"/>
      <c r="D157" s="49"/>
      <c r="E157" s="52"/>
      <c r="F157" s="65" t="s">
        <v>247</v>
      </c>
      <c r="G157" s="39"/>
      <c r="H157" s="39"/>
      <c r="I157" s="39">
        <f t="shared" si="68"/>
        <v>0</v>
      </c>
      <c r="J157" s="39"/>
      <c r="K157" s="39"/>
      <c r="L157" s="39"/>
      <c r="M157" s="12">
        <f t="shared" si="65"/>
        <v>0</v>
      </c>
      <c r="N157" s="12">
        <f t="shared" si="58"/>
        <v>0</v>
      </c>
      <c r="O157" s="13">
        <f t="shared" si="59"/>
        <v>0</v>
      </c>
      <c r="P157" s="13">
        <f t="shared" si="60"/>
        <v>0</v>
      </c>
      <c r="Q157" s="14"/>
      <c r="R157" s="14"/>
      <c r="S157" s="15"/>
      <c r="T157" s="16" t="e">
        <f>#REF!-#REF!</f>
        <v>#REF!</v>
      </c>
      <c r="W157" s="44"/>
      <c r="X157" s="44"/>
      <c r="AA157" s="19"/>
      <c r="AC157" s="82"/>
    </row>
    <row r="158" spans="1:29" s="43" customFormat="1" ht="18" hidden="1" customHeight="1" x14ac:dyDescent="0.2">
      <c r="A158" s="53" t="s">
        <v>16</v>
      </c>
      <c r="B158" s="54"/>
      <c r="C158" s="55"/>
      <c r="D158" s="49"/>
      <c r="E158" s="52"/>
      <c r="F158" s="65" t="s">
        <v>248</v>
      </c>
      <c r="G158" s="39"/>
      <c r="H158" s="39"/>
      <c r="I158" s="39">
        <f t="shared" si="68"/>
        <v>0</v>
      </c>
      <c r="J158" s="39"/>
      <c r="K158" s="39"/>
      <c r="L158" s="39"/>
      <c r="M158" s="12">
        <f t="shared" si="65"/>
        <v>0</v>
      </c>
      <c r="N158" s="12">
        <f t="shared" si="58"/>
        <v>0</v>
      </c>
      <c r="O158" s="13">
        <f t="shared" si="59"/>
        <v>0</v>
      </c>
      <c r="P158" s="13">
        <f t="shared" si="60"/>
        <v>0</v>
      </c>
      <c r="Q158" s="14"/>
      <c r="R158" s="14"/>
      <c r="S158" s="15"/>
      <c r="T158" s="16" t="e">
        <f>#REF!-#REF!</f>
        <v>#REF!</v>
      </c>
      <c r="W158" s="44"/>
      <c r="X158" s="44"/>
      <c r="AA158" s="19"/>
      <c r="AC158" s="82"/>
    </row>
    <row r="159" spans="1:29" s="43" customFormat="1" ht="18" hidden="1" customHeight="1" x14ac:dyDescent="0.2">
      <c r="A159" s="53" t="s">
        <v>16</v>
      </c>
      <c r="B159" s="54"/>
      <c r="C159" s="55"/>
      <c r="D159" s="49"/>
      <c r="E159" s="52"/>
      <c r="F159" s="65" t="s">
        <v>249</v>
      </c>
      <c r="G159" s="39"/>
      <c r="H159" s="39"/>
      <c r="I159" s="39">
        <f t="shared" si="68"/>
        <v>0</v>
      </c>
      <c r="J159" s="39"/>
      <c r="K159" s="39"/>
      <c r="L159" s="39"/>
      <c r="M159" s="12">
        <f t="shared" si="65"/>
        <v>0</v>
      </c>
      <c r="N159" s="12">
        <f t="shared" si="58"/>
        <v>0</v>
      </c>
      <c r="O159" s="13">
        <f t="shared" si="59"/>
        <v>0</v>
      </c>
      <c r="P159" s="13">
        <f t="shared" si="60"/>
        <v>0</v>
      </c>
      <c r="Q159" s="14"/>
      <c r="R159" s="14"/>
      <c r="S159" s="15"/>
      <c r="T159" s="16" t="e">
        <f>#REF!-#REF!</f>
        <v>#REF!</v>
      </c>
      <c r="W159" s="44"/>
      <c r="X159" s="44"/>
      <c r="AA159" s="19"/>
      <c r="AC159" s="82"/>
    </row>
    <row r="160" spans="1:29" s="43" customFormat="1" ht="18" customHeight="1" x14ac:dyDescent="0.2">
      <c r="A160" s="53" t="s">
        <v>16</v>
      </c>
      <c r="B160" s="54"/>
      <c r="C160" s="55"/>
      <c r="D160" s="49"/>
      <c r="E160" s="52"/>
      <c r="F160" s="65" t="s">
        <v>250</v>
      </c>
      <c r="G160" s="39">
        <v>34600</v>
      </c>
      <c r="H160" s="39">
        <f>CEILING(15985.84/6*12,100)</f>
        <v>32000</v>
      </c>
      <c r="I160" s="39">
        <f>CEILING(23842.22/9*12,100)</f>
        <v>31800</v>
      </c>
      <c r="J160" s="39">
        <f>CEILING(29133.55/11*12,100)</f>
        <v>31800</v>
      </c>
      <c r="K160" s="39">
        <v>31898.03</v>
      </c>
      <c r="L160" s="39">
        <v>22590.959999999999</v>
      </c>
      <c r="M160" s="12">
        <f t="shared" si="65"/>
        <v>0</v>
      </c>
      <c r="N160" s="12">
        <f t="shared" si="58"/>
        <v>-2800</v>
      </c>
      <c r="O160" s="13">
        <f t="shared" si="59"/>
        <v>98.029999999998836</v>
      </c>
      <c r="P160" s="13">
        <f t="shared" si="60"/>
        <v>-2701.9700000000012</v>
      </c>
      <c r="Q160" s="47" t="s">
        <v>251</v>
      </c>
      <c r="R160" s="45" t="s">
        <v>252</v>
      </c>
      <c r="S160" s="15"/>
      <c r="T160" s="16" t="e">
        <f>#REF!-#REF!</f>
        <v>#REF!</v>
      </c>
      <c r="W160" s="44"/>
      <c r="X160" s="44"/>
      <c r="AA160" s="19"/>
      <c r="AC160" s="82"/>
    </row>
    <row r="161" spans="1:29" s="17" customFormat="1" ht="18" customHeight="1" x14ac:dyDescent="0.2">
      <c r="A161" s="20" t="s">
        <v>16</v>
      </c>
      <c r="B161" s="48"/>
      <c r="C161" s="49"/>
      <c r="D161" s="49" t="s">
        <v>253</v>
      </c>
      <c r="E161" s="57"/>
      <c r="F161" s="58"/>
      <c r="G161" s="28">
        <f t="shared" ref="G161:K161" si="69">G162</f>
        <v>262500</v>
      </c>
      <c r="H161" s="28">
        <f t="shared" si="69"/>
        <v>309100</v>
      </c>
      <c r="I161" s="28">
        <f t="shared" si="69"/>
        <v>303500</v>
      </c>
      <c r="J161" s="28">
        <f t="shared" si="69"/>
        <v>315300</v>
      </c>
      <c r="K161" s="28">
        <f t="shared" si="69"/>
        <v>313615.98</v>
      </c>
      <c r="L161" s="28">
        <f>L162</f>
        <v>243250.87</v>
      </c>
      <c r="M161" s="12">
        <f t="shared" si="65"/>
        <v>11800</v>
      </c>
      <c r="N161" s="12">
        <f t="shared" si="58"/>
        <v>52800</v>
      </c>
      <c r="O161" s="13">
        <f t="shared" si="59"/>
        <v>-1684.0200000000186</v>
      </c>
      <c r="P161" s="13">
        <f t="shared" si="60"/>
        <v>51115.979999999981</v>
      </c>
      <c r="Q161" s="14"/>
      <c r="R161" s="14"/>
      <c r="S161" s="15"/>
      <c r="T161" s="16" t="e">
        <f>#REF!-#REF!</f>
        <v>#REF!</v>
      </c>
      <c r="W161" s="18"/>
      <c r="X161" s="18"/>
      <c r="AA161" s="19"/>
      <c r="AC161" s="83"/>
    </row>
    <row r="162" spans="1:29" s="33" customFormat="1" ht="18" customHeight="1" x14ac:dyDescent="0.2">
      <c r="A162" s="50" t="s">
        <v>16</v>
      </c>
      <c r="B162" s="51"/>
      <c r="C162" s="52"/>
      <c r="D162" s="57"/>
      <c r="E162" s="52" t="s">
        <v>253</v>
      </c>
      <c r="F162" s="59"/>
      <c r="G162" s="15">
        <f t="shared" ref="G162:K162" si="70">SUM(G163:G171)</f>
        <v>262500</v>
      </c>
      <c r="H162" s="15">
        <f t="shared" si="70"/>
        <v>309100</v>
      </c>
      <c r="I162" s="15">
        <f t="shared" si="70"/>
        <v>303500</v>
      </c>
      <c r="J162" s="15">
        <f t="shared" si="70"/>
        <v>315300</v>
      </c>
      <c r="K162" s="15">
        <f t="shared" si="70"/>
        <v>313615.98</v>
      </c>
      <c r="L162" s="15">
        <f>SUM(L163:L171)</f>
        <v>243250.87</v>
      </c>
      <c r="M162" s="12">
        <f t="shared" si="65"/>
        <v>11800</v>
      </c>
      <c r="N162" s="12">
        <f t="shared" si="58"/>
        <v>52800</v>
      </c>
      <c r="O162" s="13">
        <f t="shared" si="59"/>
        <v>-1684.0200000000186</v>
      </c>
      <c r="P162" s="13">
        <f t="shared" si="60"/>
        <v>51115.979999999981</v>
      </c>
      <c r="Q162" s="14"/>
      <c r="R162" s="14"/>
      <c r="S162" s="15"/>
      <c r="T162" s="16" t="e">
        <f>#REF!-#REF!</f>
        <v>#REF!</v>
      </c>
      <c r="W162" s="34"/>
      <c r="X162" s="34"/>
      <c r="AA162" s="19"/>
      <c r="AC162" s="84"/>
    </row>
    <row r="163" spans="1:29" s="43" customFormat="1" ht="18" customHeight="1" x14ac:dyDescent="0.25">
      <c r="A163" s="53" t="s">
        <v>16</v>
      </c>
      <c r="B163" s="54"/>
      <c r="C163" s="55"/>
      <c r="D163" s="49"/>
      <c r="E163" s="52"/>
      <c r="F163" s="65" t="s">
        <v>254</v>
      </c>
      <c r="G163" s="39">
        <v>10400</v>
      </c>
      <c r="H163" s="39">
        <v>11500</v>
      </c>
      <c r="I163" s="39">
        <f>CEILING((83446.1-71828.26)/10.5*12,100)</f>
        <v>13300</v>
      </c>
      <c r="J163" s="39">
        <v>16500</v>
      </c>
      <c r="K163" s="39">
        <v>13331.84</v>
      </c>
      <c r="L163" s="39">
        <v>16330.33</v>
      </c>
      <c r="M163" s="12">
        <f t="shared" si="65"/>
        <v>3200</v>
      </c>
      <c r="N163" s="12">
        <f t="shared" si="58"/>
        <v>6100</v>
      </c>
      <c r="O163" s="13">
        <f t="shared" si="59"/>
        <v>-3168.16</v>
      </c>
      <c r="P163" s="13">
        <f t="shared" si="60"/>
        <v>2931.84</v>
      </c>
      <c r="Q163" s="14"/>
      <c r="R163" s="45" t="s">
        <v>255</v>
      </c>
      <c r="S163" s="15"/>
      <c r="T163" s="16" t="e">
        <f>#REF!-#REF!</f>
        <v>#REF!</v>
      </c>
      <c r="U163" s="85">
        <v>14848.919999999998</v>
      </c>
      <c r="W163" s="44"/>
      <c r="X163" s="44"/>
      <c r="AA163" s="19"/>
      <c r="AC163" s="82"/>
    </row>
    <row r="164" spans="1:29" s="43" customFormat="1" ht="18" customHeight="1" x14ac:dyDescent="0.2">
      <c r="A164" s="53" t="s">
        <v>16</v>
      </c>
      <c r="B164" s="54"/>
      <c r="C164" s="55"/>
      <c r="D164" s="49"/>
      <c r="E164" s="52"/>
      <c r="F164" s="65" t="s">
        <v>256</v>
      </c>
      <c r="G164" s="39">
        <v>18100</v>
      </c>
      <c r="H164" s="39">
        <f>CEILING(1613.24+14200*1.22+600*1.22,100)</f>
        <v>19700</v>
      </c>
      <c r="I164" s="39">
        <f t="shared" ref="I164:J170" si="71">H164</f>
        <v>19700</v>
      </c>
      <c r="J164" s="39">
        <f>CEILING(((9206.89-7481.65)/11*12)+(14200*1.22),100)</f>
        <v>19300</v>
      </c>
      <c r="K164" s="39">
        <v>17257.87</v>
      </c>
      <c r="L164" s="39">
        <v>16167.75</v>
      </c>
      <c r="M164" s="12">
        <f t="shared" si="65"/>
        <v>-400</v>
      </c>
      <c r="N164" s="12">
        <f t="shared" si="58"/>
        <v>1200</v>
      </c>
      <c r="O164" s="13">
        <f t="shared" si="59"/>
        <v>-2042.130000000001</v>
      </c>
      <c r="P164" s="13">
        <f t="shared" si="60"/>
        <v>-842.13000000000102</v>
      </c>
      <c r="Q164" s="14"/>
      <c r="R164" s="14"/>
      <c r="S164" s="15"/>
      <c r="T164" s="16" t="e">
        <f>#REF!-#REF!</f>
        <v>#REF!</v>
      </c>
      <c r="W164" s="44"/>
      <c r="X164" s="44"/>
      <c r="AA164" s="19"/>
      <c r="AC164" s="82"/>
    </row>
    <row r="165" spans="1:29" s="43" customFormat="1" ht="18" customHeight="1" x14ac:dyDescent="0.2">
      <c r="A165" s="53" t="s">
        <v>16</v>
      </c>
      <c r="B165" s="54"/>
      <c r="C165" s="55"/>
      <c r="D165" s="49"/>
      <c r="E165" s="52"/>
      <c r="F165" s="65" t="s">
        <v>257</v>
      </c>
      <c r="G165" s="39">
        <v>11800</v>
      </c>
      <c r="H165" s="39">
        <f>CEILING(1611.56/6*12,100)</f>
        <v>3300</v>
      </c>
      <c r="I165" s="39">
        <f t="shared" si="71"/>
        <v>3300</v>
      </c>
      <c r="J165" s="39">
        <v>3100</v>
      </c>
      <c r="K165" s="39">
        <v>3091.68</v>
      </c>
      <c r="L165" s="39">
        <v>11949.22</v>
      </c>
      <c r="M165" s="12">
        <f t="shared" si="65"/>
        <v>-200</v>
      </c>
      <c r="N165" s="12">
        <f t="shared" si="58"/>
        <v>-8700</v>
      </c>
      <c r="O165" s="13">
        <f t="shared" si="59"/>
        <v>-8.3200000000001637</v>
      </c>
      <c r="P165" s="13">
        <f t="shared" si="60"/>
        <v>-8708.32</v>
      </c>
      <c r="Q165" s="86" t="s">
        <v>258</v>
      </c>
      <c r="R165" s="47" t="s">
        <v>259</v>
      </c>
      <c r="S165" s="15"/>
      <c r="T165" s="16" t="e">
        <f>#REF!-#REF!</f>
        <v>#REF!</v>
      </c>
      <c r="W165" s="44"/>
      <c r="X165" s="44"/>
      <c r="AA165" s="19"/>
      <c r="AC165" s="82"/>
    </row>
    <row r="166" spans="1:29" s="43" customFormat="1" ht="18" customHeight="1" x14ac:dyDescent="0.2">
      <c r="A166" s="53" t="s">
        <v>16</v>
      </c>
      <c r="B166" s="54"/>
      <c r="C166" s="55"/>
      <c r="D166" s="49"/>
      <c r="E166" s="52"/>
      <c r="F166" s="65" t="s">
        <v>260</v>
      </c>
      <c r="G166" s="39">
        <v>71600</v>
      </c>
      <c r="H166" s="39">
        <v>91100</v>
      </c>
      <c r="I166" s="39">
        <v>98100</v>
      </c>
      <c r="J166" s="39">
        <v>99300</v>
      </c>
      <c r="K166" s="39">
        <v>97496.75</v>
      </c>
      <c r="L166" s="39">
        <v>60643.35</v>
      </c>
      <c r="M166" s="12">
        <f t="shared" si="65"/>
        <v>1200</v>
      </c>
      <c r="N166" s="12">
        <f t="shared" si="58"/>
        <v>27700</v>
      </c>
      <c r="O166" s="13">
        <f t="shared" si="59"/>
        <v>-1803.25</v>
      </c>
      <c r="P166" s="13">
        <f t="shared" si="60"/>
        <v>25896.75</v>
      </c>
      <c r="Q166" s="40" t="s">
        <v>261</v>
      </c>
      <c r="R166" s="45"/>
      <c r="S166" s="15"/>
      <c r="T166" s="16" t="e">
        <f>#REF!-#REF!</f>
        <v>#REF!</v>
      </c>
      <c r="U166" s="70"/>
      <c r="W166" s="44"/>
      <c r="X166" s="44"/>
      <c r="AA166" s="19"/>
      <c r="AC166" s="82"/>
    </row>
    <row r="167" spans="1:29" s="43" customFormat="1" ht="18" customHeight="1" x14ac:dyDescent="0.2">
      <c r="A167" s="53" t="s">
        <v>16</v>
      </c>
      <c r="B167" s="54"/>
      <c r="C167" s="55"/>
      <c r="D167" s="49"/>
      <c r="E167" s="52"/>
      <c r="F167" s="65" t="s">
        <v>262</v>
      </c>
      <c r="G167" s="39">
        <v>4900</v>
      </c>
      <c r="H167" s="39">
        <f>G167</f>
        <v>4900</v>
      </c>
      <c r="I167" s="39">
        <f t="shared" si="71"/>
        <v>4900</v>
      </c>
      <c r="J167" s="39">
        <f>CEILING(1738.39/3*12,100)</f>
        <v>7000</v>
      </c>
      <c r="K167" s="39">
        <v>5700.06</v>
      </c>
      <c r="L167" s="39">
        <v>4764.6099999999997</v>
      </c>
      <c r="M167" s="12">
        <f t="shared" si="65"/>
        <v>2100</v>
      </c>
      <c r="N167" s="12">
        <f t="shared" si="58"/>
        <v>2100</v>
      </c>
      <c r="O167" s="13">
        <f t="shared" si="59"/>
        <v>-1299.9399999999996</v>
      </c>
      <c r="P167" s="13">
        <f t="shared" si="60"/>
        <v>800.0600000000004</v>
      </c>
      <c r="Q167" s="14"/>
      <c r="R167" s="45"/>
      <c r="S167" s="15"/>
      <c r="T167" s="16" t="e">
        <f>#REF!-#REF!</f>
        <v>#REF!</v>
      </c>
      <c r="W167" s="44"/>
      <c r="X167" s="44"/>
      <c r="AA167" s="19"/>
      <c r="AC167" s="82"/>
    </row>
    <row r="168" spans="1:29" s="43" customFormat="1" ht="18" customHeight="1" x14ac:dyDescent="0.2">
      <c r="A168" s="53" t="s">
        <v>16</v>
      </c>
      <c r="B168" s="54"/>
      <c r="C168" s="55"/>
      <c r="D168" s="49"/>
      <c r="E168" s="52"/>
      <c r="F168" s="65" t="s">
        <v>263</v>
      </c>
      <c r="G168" s="39">
        <v>8500</v>
      </c>
      <c r="H168" s="39">
        <f>CEILING(11007.68-3356.34,100)</f>
        <v>7700</v>
      </c>
      <c r="I168" s="39">
        <f t="shared" si="71"/>
        <v>7700</v>
      </c>
      <c r="J168" s="39">
        <f>CEILING(11007.68-3356.34,100)</f>
        <v>7700</v>
      </c>
      <c r="K168" s="39">
        <v>7651.34</v>
      </c>
      <c r="L168" s="39">
        <v>8293.3799999999992</v>
      </c>
      <c r="M168" s="12">
        <f t="shared" si="65"/>
        <v>0</v>
      </c>
      <c r="N168" s="12">
        <f t="shared" si="58"/>
        <v>-800</v>
      </c>
      <c r="O168" s="13">
        <f t="shared" si="59"/>
        <v>-48.659999999999854</v>
      </c>
      <c r="P168" s="13">
        <f t="shared" si="60"/>
        <v>-848.65999999999985</v>
      </c>
      <c r="Q168" s="45" t="s">
        <v>264</v>
      </c>
      <c r="R168" s="45"/>
      <c r="S168" s="15"/>
      <c r="T168" s="16" t="e">
        <f>#REF!-#REF!</f>
        <v>#REF!</v>
      </c>
      <c r="W168" s="44"/>
      <c r="X168" s="44"/>
      <c r="AA168" s="19"/>
    </row>
    <row r="169" spans="1:29" s="43" customFormat="1" ht="18" customHeight="1" x14ac:dyDescent="0.2">
      <c r="A169" s="53" t="s">
        <v>16</v>
      </c>
      <c r="B169" s="54"/>
      <c r="C169" s="55"/>
      <c r="D169" s="49"/>
      <c r="E169" s="52"/>
      <c r="F169" s="65" t="s">
        <v>265</v>
      </c>
      <c r="G169" s="39">
        <v>55800</v>
      </c>
      <c r="H169" s="39">
        <f>G169</f>
        <v>55800</v>
      </c>
      <c r="I169" s="39">
        <f t="shared" si="71"/>
        <v>55800</v>
      </c>
      <c r="J169" s="39">
        <v>53800</v>
      </c>
      <c r="K169" s="39">
        <v>54592.12</v>
      </c>
      <c r="L169" s="39">
        <f>43998.56+118.34</f>
        <v>44116.899999999994</v>
      </c>
      <c r="M169" s="12">
        <f t="shared" si="65"/>
        <v>-2000</v>
      </c>
      <c r="N169" s="12">
        <f t="shared" si="58"/>
        <v>-2000</v>
      </c>
      <c r="O169" s="13">
        <f t="shared" si="59"/>
        <v>792.12000000000262</v>
      </c>
      <c r="P169" s="13">
        <f t="shared" si="60"/>
        <v>-1207.8799999999974</v>
      </c>
      <c r="Q169" s="14" t="s">
        <v>266</v>
      </c>
      <c r="R169" s="45"/>
      <c r="S169" s="15"/>
      <c r="T169" s="16" t="e">
        <f>#REF!-#REF!</f>
        <v>#REF!</v>
      </c>
      <c r="W169" s="44"/>
      <c r="X169" s="44"/>
      <c r="AA169" s="19"/>
    </row>
    <row r="170" spans="1:29" s="43" customFormat="1" ht="18" customHeight="1" x14ac:dyDescent="0.2">
      <c r="A170" s="53" t="s">
        <v>16</v>
      </c>
      <c r="B170" s="54"/>
      <c r="C170" s="55"/>
      <c r="D170" s="49"/>
      <c r="E170" s="52"/>
      <c r="F170" s="65" t="s">
        <v>267</v>
      </c>
      <c r="G170" s="39">
        <v>300</v>
      </c>
      <c r="H170" s="39">
        <v>300</v>
      </c>
      <c r="I170" s="39">
        <f t="shared" si="71"/>
        <v>300</v>
      </c>
      <c r="J170" s="39">
        <f t="shared" si="71"/>
        <v>300</v>
      </c>
      <c r="K170" s="39">
        <v>256.60000000000002</v>
      </c>
      <c r="L170" s="39">
        <v>256.60000000000002</v>
      </c>
      <c r="M170" s="12">
        <f t="shared" si="65"/>
        <v>0</v>
      </c>
      <c r="N170" s="12">
        <f t="shared" si="58"/>
        <v>0</v>
      </c>
      <c r="O170" s="13">
        <f t="shared" si="59"/>
        <v>-43.399999999999977</v>
      </c>
      <c r="P170" s="13">
        <f t="shared" si="60"/>
        <v>-43.399999999999977</v>
      </c>
      <c r="Q170" s="14"/>
      <c r="R170" s="45"/>
      <c r="S170" s="15"/>
      <c r="T170" s="16" t="e">
        <f>#REF!-#REF!</f>
        <v>#REF!</v>
      </c>
      <c r="W170" s="44"/>
      <c r="X170" s="44"/>
      <c r="AA170" s="19"/>
    </row>
    <row r="171" spans="1:29" s="43" customFormat="1" ht="18" customHeight="1" x14ac:dyDescent="0.2">
      <c r="A171" s="53" t="s">
        <v>16</v>
      </c>
      <c r="B171" s="54"/>
      <c r="C171" s="55"/>
      <c r="D171" s="49"/>
      <c r="E171" s="52"/>
      <c r="F171" s="65" t="s">
        <v>268</v>
      </c>
      <c r="G171" s="39">
        <v>81100</v>
      </c>
      <c r="H171" s="39">
        <v>114800</v>
      </c>
      <c r="I171" s="39">
        <v>100400</v>
      </c>
      <c r="J171" s="39">
        <v>108300</v>
      </c>
      <c r="K171" s="39">
        <v>114237.72</v>
      </c>
      <c r="L171" s="39">
        <v>80728.73</v>
      </c>
      <c r="M171" s="12">
        <f t="shared" si="65"/>
        <v>7900</v>
      </c>
      <c r="N171" s="12">
        <f t="shared" si="58"/>
        <v>27200</v>
      </c>
      <c r="O171" s="13">
        <f t="shared" si="59"/>
        <v>5937.7200000000012</v>
      </c>
      <c r="P171" s="13">
        <f t="shared" si="60"/>
        <v>33137.72</v>
      </c>
      <c r="Q171" s="40" t="s">
        <v>269</v>
      </c>
      <c r="R171" s="87" t="s">
        <v>270</v>
      </c>
      <c r="S171" s="15"/>
      <c r="T171" s="16" t="e">
        <f>#REF!-#REF!</f>
        <v>#REF!</v>
      </c>
      <c r="U171" s="70">
        <f>2074+11434.5+2935.44+7817.98</f>
        <v>24261.919999999998</v>
      </c>
      <c r="W171" s="44"/>
      <c r="X171" s="44"/>
      <c r="AA171" s="19"/>
    </row>
    <row r="172" spans="1:29" s="17" customFormat="1" ht="18" customHeight="1" x14ac:dyDescent="0.2">
      <c r="A172" s="20" t="s">
        <v>16</v>
      </c>
      <c r="B172" s="48"/>
      <c r="C172" s="49"/>
      <c r="D172" s="49" t="s">
        <v>271</v>
      </c>
      <c r="E172" s="57"/>
      <c r="F172" s="58"/>
      <c r="G172" s="28">
        <f t="shared" ref="G172:K172" si="72">G173</f>
        <v>585000</v>
      </c>
      <c r="H172" s="28">
        <f t="shared" si="72"/>
        <v>608200</v>
      </c>
      <c r="I172" s="28">
        <f t="shared" si="72"/>
        <v>603700</v>
      </c>
      <c r="J172" s="28">
        <f t="shared" si="72"/>
        <v>565400</v>
      </c>
      <c r="K172" s="28">
        <f t="shared" si="72"/>
        <v>543746.51</v>
      </c>
      <c r="L172" s="28">
        <f>L173</f>
        <v>539504.72000000009</v>
      </c>
      <c r="M172" s="12">
        <f t="shared" si="65"/>
        <v>-38300</v>
      </c>
      <c r="N172" s="12">
        <f t="shared" si="58"/>
        <v>-19600</v>
      </c>
      <c r="O172" s="13">
        <f t="shared" si="59"/>
        <v>-21653.489999999991</v>
      </c>
      <c r="P172" s="13">
        <f t="shared" si="60"/>
        <v>-41253.489999999991</v>
      </c>
      <c r="Q172" s="14"/>
      <c r="R172" s="14"/>
      <c r="S172" s="15"/>
      <c r="T172" s="16" t="e">
        <f>#REF!-#REF!</f>
        <v>#REF!</v>
      </c>
      <c r="W172" s="18"/>
      <c r="X172" s="18"/>
      <c r="AA172" s="19"/>
    </row>
    <row r="173" spans="1:29" s="33" customFormat="1" ht="18" customHeight="1" x14ac:dyDescent="0.2">
      <c r="A173" s="50" t="s">
        <v>16</v>
      </c>
      <c r="B173" s="51"/>
      <c r="C173" s="52"/>
      <c r="D173" s="57"/>
      <c r="E173" s="52" t="s">
        <v>271</v>
      </c>
      <c r="F173" s="59"/>
      <c r="G173" s="15">
        <f t="shared" ref="G173:K173" si="73">SUM(G174:G181)</f>
        <v>585000</v>
      </c>
      <c r="H173" s="15">
        <f t="shared" si="73"/>
        <v>608200</v>
      </c>
      <c r="I173" s="15">
        <f t="shared" si="73"/>
        <v>603700</v>
      </c>
      <c r="J173" s="15">
        <f t="shared" si="73"/>
        <v>565400</v>
      </c>
      <c r="K173" s="15">
        <f t="shared" si="73"/>
        <v>543746.51</v>
      </c>
      <c r="L173" s="15">
        <f>SUM(L174:L181)</f>
        <v>539504.72000000009</v>
      </c>
      <c r="M173" s="12">
        <f t="shared" si="65"/>
        <v>-38300</v>
      </c>
      <c r="N173" s="12">
        <f t="shared" si="58"/>
        <v>-19600</v>
      </c>
      <c r="O173" s="13">
        <f t="shared" si="59"/>
        <v>-21653.489999999991</v>
      </c>
      <c r="P173" s="13">
        <f t="shared" si="60"/>
        <v>-41253.489999999991</v>
      </c>
      <c r="Q173" s="14"/>
      <c r="R173" s="14"/>
      <c r="S173" s="15"/>
      <c r="T173" s="16" t="e">
        <f>#REF!-#REF!</f>
        <v>#REF!</v>
      </c>
      <c r="W173" s="34"/>
      <c r="X173" s="34"/>
      <c r="AA173" s="19"/>
    </row>
    <row r="174" spans="1:29" s="43" customFormat="1" ht="18" customHeight="1" x14ac:dyDescent="0.2">
      <c r="A174" s="53" t="s">
        <v>16</v>
      </c>
      <c r="B174" s="54"/>
      <c r="C174" s="55"/>
      <c r="D174" s="49"/>
      <c r="E174" s="52"/>
      <c r="F174" s="65" t="s">
        <v>272</v>
      </c>
      <c r="G174" s="39">
        <v>7000</v>
      </c>
      <c r="H174" s="39">
        <f>G174</f>
        <v>7000</v>
      </c>
      <c r="I174" s="39">
        <f>H174</f>
        <v>7000</v>
      </c>
      <c r="J174" s="39">
        <f>CEILING(6049.13+336.52+55.88,100)</f>
        <v>6500</v>
      </c>
      <c r="K174" s="39">
        <v>6452.71</v>
      </c>
      <c r="L174" s="39">
        <v>5408.9</v>
      </c>
      <c r="M174" s="12">
        <f t="shared" si="65"/>
        <v>-500</v>
      </c>
      <c r="N174" s="12">
        <f t="shared" si="58"/>
        <v>-500</v>
      </c>
      <c r="O174" s="13">
        <f t="shared" si="59"/>
        <v>-47.289999999999964</v>
      </c>
      <c r="P174" s="13">
        <f t="shared" si="60"/>
        <v>-547.29</v>
      </c>
      <c r="Q174" s="14"/>
      <c r="R174" s="14"/>
      <c r="S174" s="15"/>
      <c r="T174" s="16" t="e">
        <f>#REF!-#REF!</f>
        <v>#REF!</v>
      </c>
      <c r="W174" s="44"/>
      <c r="X174" s="44"/>
      <c r="AA174" s="19"/>
    </row>
    <row r="175" spans="1:29" s="43" customFormat="1" ht="18" customHeight="1" x14ac:dyDescent="0.2">
      <c r="A175" s="53" t="s">
        <v>16</v>
      </c>
      <c r="B175" s="54"/>
      <c r="C175" s="55"/>
      <c r="D175" s="49"/>
      <c r="E175" s="52"/>
      <c r="F175" s="65" t="s">
        <v>273</v>
      </c>
      <c r="G175" s="39">
        <v>76400</v>
      </c>
      <c r="H175" s="39">
        <f>G175</f>
        <v>76400</v>
      </c>
      <c r="I175" s="39">
        <f t="shared" ref="I175:I178" si="74">H175</f>
        <v>76400</v>
      </c>
      <c r="J175" s="39">
        <v>72900</v>
      </c>
      <c r="K175" s="39">
        <v>68186.03</v>
      </c>
      <c r="L175" s="39">
        <v>74806.14</v>
      </c>
      <c r="M175" s="12">
        <f t="shared" si="65"/>
        <v>-3500</v>
      </c>
      <c r="N175" s="12">
        <f t="shared" si="58"/>
        <v>-3500</v>
      </c>
      <c r="O175" s="13">
        <f t="shared" si="59"/>
        <v>-4713.9700000000012</v>
      </c>
      <c r="P175" s="13">
        <f t="shared" si="60"/>
        <v>-8213.9700000000012</v>
      </c>
      <c r="Q175" s="47" t="s">
        <v>274</v>
      </c>
      <c r="R175" s="47" t="s">
        <v>275</v>
      </c>
      <c r="S175" s="15"/>
      <c r="T175" s="16" t="e">
        <f>#REF!-#REF!</f>
        <v>#REF!</v>
      </c>
      <c r="W175" s="44"/>
      <c r="X175" s="44"/>
      <c r="AA175" s="19"/>
    </row>
    <row r="176" spans="1:29" s="43" customFormat="1" ht="18" customHeight="1" x14ac:dyDescent="0.2">
      <c r="A176" s="53" t="s">
        <v>16</v>
      </c>
      <c r="B176" s="54"/>
      <c r="C176" s="55"/>
      <c r="D176" s="49"/>
      <c r="E176" s="52"/>
      <c r="F176" s="65" t="s">
        <v>276</v>
      </c>
      <c r="G176" s="39">
        <v>4500</v>
      </c>
      <c r="H176" s="39">
        <f>CEILING(2735.64/6*12,100)</f>
        <v>5500</v>
      </c>
      <c r="I176" s="39">
        <f t="shared" si="74"/>
        <v>5500</v>
      </c>
      <c r="J176" s="39">
        <f>CEILING(5117.22/11*12,100)</f>
        <v>5600</v>
      </c>
      <c r="K176" s="39">
        <v>5550.99</v>
      </c>
      <c r="L176" s="39">
        <v>5458.26</v>
      </c>
      <c r="M176" s="12">
        <f t="shared" si="65"/>
        <v>100</v>
      </c>
      <c r="N176" s="12">
        <f t="shared" si="58"/>
        <v>1100</v>
      </c>
      <c r="O176" s="13">
        <f t="shared" si="59"/>
        <v>-49.010000000000218</v>
      </c>
      <c r="P176" s="13">
        <f t="shared" si="60"/>
        <v>1050.9899999999998</v>
      </c>
      <c r="Q176" s="46"/>
      <c r="R176" s="47" t="s">
        <v>41</v>
      </c>
      <c r="S176" s="15"/>
      <c r="T176" s="16" t="e">
        <f>#REF!-#REF!</f>
        <v>#REF!</v>
      </c>
      <c r="W176" s="44"/>
      <c r="X176" s="44"/>
      <c r="AA176" s="19"/>
    </row>
    <row r="177" spans="1:27" s="43" customFormat="1" ht="18" customHeight="1" x14ac:dyDescent="0.2">
      <c r="A177" s="53" t="s">
        <v>16</v>
      </c>
      <c r="B177" s="54"/>
      <c r="C177" s="55"/>
      <c r="D177" s="49"/>
      <c r="E177" s="52"/>
      <c r="F177" s="65" t="s">
        <v>277</v>
      </c>
      <c r="G177" s="39">
        <v>104300</v>
      </c>
      <c r="H177" s="39">
        <f>CEILING(L177,100)</f>
        <v>88400</v>
      </c>
      <c r="I177" s="39">
        <f>H177</f>
        <v>88400</v>
      </c>
      <c r="J177" s="39">
        <v>80900</v>
      </c>
      <c r="K177" s="39">
        <v>64777.5</v>
      </c>
      <c r="L177" s="39">
        <v>88312.77</v>
      </c>
      <c r="M177" s="12">
        <f t="shared" si="65"/>
        <v>-7500</v>
      </c>
      <c r="N177" s="12">
        <f t="shared" si="58"/>
        <v>-23400</v>
      </c>
      <c r="O177" s="13">
        <f t="shared" si="59"/>
        <v>-16122.5</v>
      </c>
      <c r="P177" s="13">
        <f t="shared" si="60"/>
        <v>-39522.5</v>
      </c>
      <c r="Q177" s="46"/>
      <c r="R177" s="45" t="s">
        <v>278</v>
      </c>
      <c r="S177" s="15"/>
      <c r="T177" s="16" t="e">
        <f>#REF!-#REF!</f>
        <v>#REF!</v>
      </c>
      <c r="W177" s="44"/>
      <c r="X177" s="44"/>
      <c r="AA177" s="19"/>
    </row>
    <row r="178" spans="1:27" s="43" customFormat="1" ht="18" customHeight="1" x14ac:dyDescent="0.2">
      <c r="A178" s="53" t="s">
        <v>16</v>
      </c>
      <c r="B178" s="54"/>
      <c r="C178" s="55"/>
      <c r="D178" s="49"/>
      <c r="E178" s="52"/>
      <c r="F178" s="65" t="s">
        <v>279</v>
      </c>
      <c r="G178" s="39">
        <v>77200</v>
      </c>
      <c r="H178" s="39">
        <f>CEILING(43901.22/6*12,100)</f>
        <v>87900</v>
      </c>
      <c r="I178" s="39">
        <f t="shared" si="74"/>
        <v>87900</v>
      </c>
      <c r="J178" s="39">
        <f>CEILING(43901.22/6*12,100)</f>
        <v>87900</v>
      </c>
      <c r="K178" s="39">
        <v>88518.720000000001</v>
      </c>
      <c r="L178" s="39">
        <v>76246.2</v>
      </c>
      <c r="M178" s="12">
        <f t="shared" si="65"/>
        <v>0</v>
      </c>
      <c r="N178" s="12">
        <f t="shared" si="58"/>
        <v>10700</v>
      </c>
      <c r="O178" s="13">
        <f t="shared" si="59"/>
        <v>618.72000000000116</v>
      </c>
      <c r="P178" s="13">
        <f t="shared" si="60"/>
        <v>11318.720000000001</v>
      </c>
      <c r="Q178" s="46"/>
      <c r="R178" s="14"/>
      <c r="S178" s="15"/>
      <c r="T178" s="16" t="e">
        <f>#REF!-#REF!</f>
        <v>#REF!</v>
      </c>
      <c r="W178" s="44"/>
      <c r="X178" s="44"/>
      <c r="AA178" s="19"/>
    </row>
    <row r="179" spans="1:27" s="43" customFormat="1" ht="18" customHeight="1" x14ac:dyDescent="0.2">
      <c r="A179" s="53" t="s">
        <v>16</v>
      </c>
      <c r="B179" s="54"/>
      <c r="C179" s="55"/>
      <c r="D179" s="49"/>
      <c r="E179" s="52"/>
      <c r="F179" s="65" t="s">
        <v>280</v>
      </c>
      <c r="G179" s="39">
        <v>15700</v>
      </c>
      <c r="H179" s="39">
        <f>CEILING(4713.24/7*12,100)</f>
        <v>8100</v>
      </c>
      <c r="I179" s="39">
        <f>CEILING(6388.85/9*12,100)</f>
        <v>8600</v>
      </c>
      <c r="J179" s="39">
        <f>CEILING(10638.71+500,100)</f>
        <v>11200</v>
      </c>
      <c r="K179" s="39">
        <v>11163.4</v>
      </c>
      <c r="L179" s="39">
        <v>9267.76</v>
      </c>
      <c r="M179" s="12">
        <f t="shared" si="65"/>
        <v>2600</v>
      </c>
      <c r="N179" s="12">
        <f t="shared" si="58"/>
        <v>-4500</v>
      </c>
      <c r="O179" s="13">
        <f t="shared" si="59"/>
        <v>-36.600000000000364</v>
      </c>
      <c r="P179" s="13">
        <f t="shared" si="60"/>
        <v>-4536.6000000000004</v>
      </c>
      <c r="Q179" s="46"/>
      <c r="R179" s="47" t="s">
        <v>41</v>
      </c>
      <c r="S179" s="15"/>
      <c r="T179" s="16" t="e">
        <f>#REF!-#REF!</f>
        <v>#REF!</v>
      </c>
      <c r="W179" s="44"/>
      <c r="X179" s="44"/>
      <c r="AA179" s="19"/>
    </row>
    <row r="180" spans="1:27" s="43" customFormat="1" ht="18" customHeight="1" x14ac:dyDescent="0.2">
      <c r="A180" s="53" t="s">
        <v>16</v>
      </c>
      <c r="B180" s="54"/>
      <c r="C180" s="55"/>
      <c r="D180" s="49"/>
      <c r="E180" s="52"/>
      <c r="F180" s="65" t="s">
        <v>281</v>
      </c>
      <c r="G180" s="39">
        <v>280100</v>
      </c>
      <c r="H180" s="39">
        <v>314000</v>
      </c>
      <c r="I180" s="39">
        <v>311400</v>
      </c>
      <c r="J180" s="39">
        <v>281900</v>
      </c>
      <c r="K180" s="39">
        <v>281026.64</v>
      </c>
      <c r="L180" s="39">
        <v>266363.08</v>
      </c>
      <c r="M180" s="12">
        <f t="shared" si="65"/>
        <v>-29500</v>
      </c>
      <c r="N180" s="12">
        <f t="shared" si="58"/>
        <v>1800</v>
      </c>
      <c r="O180" s="13">
        <f t="shared" si="59"/>
        <v>-873.35999999998603</v>
      </c>
      <c r="P180" s="13">
        <f t="shared" si="60"/>
        <v>926.64000000001397</v>
      </c>
      <c r="Q180" s="45"/>
      <c r="R180" s="45" t="s">
        <v>79</v>
      </c>
      <c r="S180" s="15" t="s">
        <v>79</v>
      </c>
      <c r="T180" s="16" t="e">
        <f>#REF!-#REF!</f>
        <v>#REF!</v>
      </c>
      <c r="W180" s="44"/>
      <c r="X180" s="44"/>
      <c r="AA180" s="19"/>
    </row>
    <row r="181" spans="1:27" s="43" customFormat="1" ht="18" customHeight="1" x14ac:dyDescent="0.2">
      <c r="A181" s="53" t="s">
        <v>16</v>
      </c>
      <c r="B181" s="54"/>
      <c r="C181" s="55"/>
      <c r="D181" s="49"/>
      <c r="E181" s="52"/>
      <c r="F181" s="65" t="s">
        <v>282</v>
      </c>
      <c r="G181" s="39">
        <v>19800</v>
      </c>
      <c r="H181" s="39">
        <v>20900</v>
      </c>
      <c r="I181" s="39">
        <v>18500</v>
      </c>
      <c r="J181" s="39">
        <v>18500</v>
      </c>
      <c r="K181" s="39">
        <v>18070.52</v>
      </c>
      <c r="L181" s="39">
        <v>13641.61</v>
      </c>
      <c r="M181" s="12">
        <f t="shared" si="65"/>
        <v>0</v>
      </c>
      <c r="N181" s="12">
        <f t="shared" si="58"/>
        <v>-1300</v>
      </c>
      <c r="O181" s="13">
        <f t="shared" si="59"/>
        <v>-429.47999999999956</v>
      </c>
      <c r="P181" s="13">
        <f t="shared" si="60"/>
        <v>-1729.4799999999996</v>
      </c>
      <c r="Q181" s="14"/>
      <c r="R181" s="45" t="s">
        <v>133</v>
      </c>
      <c r="S181" s="15"/>
      <c r="T181" s="16" t="e">
        <f>#REF!-#REF!</f>
        <v>#REF!</v>
      </c>
      <c r="W181" s="44"/>
      <c r="X181" s="44"/>
      <c r="AA181" s="19"/>
    </row>
    <row r="182" spans="1:27" s="17" customFormat="1" ht="18" customHeight="1" x14ac:dyDescent="0.2">
      <c r="A182" s="20" t="s">
        <v>16</v>
      </c>
      <c r="B182" s="48"/>
      <c r="C182" s="49"/>
      <c r="D182" s="49" t="s">
        <v>283</v>
      </c>
      <c r="E182" s="57"/>
      <c r="F182" s="58"/>
      <c r="G182" s="28">
        <f t="shared" ref="G182:K182" si="75">G183+G195+G196+G198</f>
        <v>43700</v>
      </c>
      <c r="H182" s="28">
        <f t="shared" si="75"/>
        <v>49160</v>
      </c>
      <c r="I182" s="28">
        <f t="shared" si="75"/>
        <v>55060</v>
      </c>
      <c r="J182" s="28">
        <f t="shared" si="75"/>
        <v>44760</v>
      </c>
      <c r="K182" s="28">
        <f t="shared" si="75"/>
        <v>49733.45</v>
      </c>
      <c r="L182" s="28">
        <f>L183+L195+L196+L198</f>
        <v>40269.379999999997</v>
      </c>
      <c r="M182" s="12">
        <f t="shared" si="65"/>
        <v>-10300</v>
      </c>
      <c r="N182" s="12">
        <f t="shared" si="58"/>
        <v>1060</v>
      </c>
      <c r="O182" s="13">
        <f t="shared" si="59"/>
        <v>4973.4499999999971</v>
      </c>
      <c r="P182" s="13">
        <f t="shared" si="60"/>
        <v>6033.4499999999971</v>
      </c>
      <c r="Q182" s="14"/>
      <c r="R182" s="14"/>
      <c r="S182" s="15"/>
      <c r="T182" s="16" t="e">
        <f>#REF!-#REF!</f>
        <v>#REF!</v>
      </c>
      <c r="W182" s="18"/>
      <c r="X182" s="18"/>
      <c r="AA182" s="19"/>
    </row>
    <row r="183" spans="1:27" s="33" customFormat="1" ht="18" customHeight="1" x14ac:dyDescent="0.2">
      <c r="A183" s="50" t="s">
        <v>16</v>
      </c>
      <c r="B183" s="51"/>
      <c r="C183" s="52"/>
      <c r="D183" s="57"/>
      <c r="E183" s="52" t="s">
        <v>284</v>
      </c>
      <c r="F183" s="59"/>
      <c r="G183" s="15">
        <f t="shared" ref="G183:K183" si="76">SUM(G184:G194)</f>
        <v>42900</v>
      </c>
      <c r="H183" s="15">
        <f t="shared" si="76"/>
        <v>48900</v>
      </c>
      <c r="I183" s="15">
        <f t="shared" si="76"/>
        <v>54800</v>
      </c>
      <c r="J183" s="15">
        <f t="shared" si="76"/>
        <v>44500</v>
      </c>
      <c r="K183" s="15">
        <f t="shared" si="76"/>
        <v>49473.45</v>
      </c>
      <c r="L183" s="15">
        <f>SUM(L184:L194)</f>
        <v>40269.379999999997</v>
      </c>
      <c r="M183" s="12">
        <f t="shared" si="65"/>
        <v>-10300</v>
      </c>
      <c r="N183" s="12">
        <f t="shared" si="58"/>
        <v>1600</v>
      </c>
      <c r="O183" s="13">
        <f t="shared" si="59"/>
        <v>4973.4499999999971</v>
      </c>
      <c r="P183" s="13">
        <f t="shared" si="60"/>
        <v>6573.4499999999971</v>
      </c>
      <c r="Q183" s="14"/>
      <c r="R183" s="14"/>
      <c r="S183" s="15"/>
      <c r="T183" s="16" t="e">
        <f>#REF!-#REF!</f>
        <v>#REF!</v>
      </c>
      <c r="W183" s="34"/>
      <c r="X183" s="34"/>
      <c r="AA183" s="19"/>
    </row>
    <row r="184" spans="1:27" s="43" customFormat="1" ht="18" customHeight="1" x14ac:dyDescent="0.2">
      <c r="A184" s="53" t="s">
        <v>16</v>
      </c>
      <c r="B184" s="54"/>
      <c r="C184" s="55"/>
      <c r="D184" s="49"/>
      <c r="E184" s="52"/>
      <c r="F184" s="65" t="s">
        <v>285</v>
      </c>
      <c r="G184" s="39">
        <v>800</v>
      </c>
      <c r="H184" s="39">
        <v>700</v>
      </c>
      <c r="I184" s="39">
        <f>H184</f>
        <v>700</v>
      </c>
      <c r="J184" s="39">
        <f>I184</f>
        <v>700</v>
      </c>
      <c r="K184" s="39">
        <v>700</v>
      </c>
      <c r="L184" s="39">
        <v>704</v>
      </c>
      <c r="M184" s="12">
        <f t="shared" si="65"/>
        <v>0</v>
      </c>
      <c r="N184" s="12">
        <f t="shared" si="58"/>
        <v>-100</v>
      </c>
      <c r="O184" s="13">
        <f t="shared" si="59"/>
        <v>0</v>
      </c>
      <c r="P184" s="13">
        <f t="shared" si="60"/>
        <v>-100</v>
      </c>
      <c r="Q184" s="14"/>
      <c r="R184" s="14"/>
      <c r="S184" s="15"/>
      <c r="T184" s="16" t="e">
        <f>#REF!-#REF!</f>
        <v>#REF!</v>
      </c>
      <c r="W184" s="44"/>
      <c r="X184" s="44"/>
      <c r="AA184" s="19"/>
    </row>
    <row r="185" spans="1:27" s="43" customFormat="1" ht="18" hidden="1" customHeight="1" x14ac:dyDescent="0.2">
      <c r="A185" s="53" t="s">
        <v>16</v>
      </c>
      <c r="B185" s="54"/>
      <c r="C185" s="55"/>
      <c r="D185" s="49"/>
      <c r="E185" s="52"/>
      <c r="F185" s="65" t="s">
        <v>286</v>
      </c>
      <c r="G185" s="39"/>
      <c r="H185" s="39"/>
      <c r="I185" s="39">
        <f t="shared" ref="I185:J193" si="77">H185</f>
        <v>0</v>
      </c>
      <c r="J185" s="39">
        <f t="shared" si="77"/>
        <v>0</v>
      </c>
      <c r="K185" s="39"/>
      <c r="L185" s="39"/>
      <c r="M185" s="12">
        <f t="shared" si="65"/>
        <v>0</v>
      </c>
      <c r="N185" s="12">
        <f t="shared" si="58"/>
        <v>0</v>
      </c>
      <c r="O185" s="13">
        <f t="shared" si="59"/>
        <v>0</v>
      </c>
      <c r="P185" s="13">
        <f t="shared" si="60"/>
        <v>0</v>
      </c>
      <c r="Q185" s="14"/>
      <c r="R185" s="14"/>
      <c r="S185" s="15"/>
      <c r="T185" s="16" t="e">
        <f>#REF!-#REF!</f>
        <v>#REF!</v>
      </c>
      <c r="W185" s="44"/>
      <c r="X185" s="44"/>
      <c r="AA185" s="19"/>
    </row>
    <row r="186" spans="1:27" s="43" customFormat="1" ht="22.5" customHeight="1" x14ac:dyDescent="0.2">
      <c r="A186" s="53" t="s">
        <v>16</v>
      </c>
      <c r="B186" s="54"/>
      <c r="C186" s="55"/>
      <c r="D186" s="49"/>
      <c r="E186" s="52"/>
      <c r="F186" s="65" t="s">
        <v>287</v>
      </c>
      <c r="G186" s="39">
        <v>31300</v>
      </c>
      <c r="H186" s="39">
        <v>37100</v>
      </c>
      <c r="I186" s="39">
        <f>H186</f>
        <v>37100</v>
      </c>
      <c r="J186" s="39">
        <v>35300</v>
      </c>
      <c r="K186" s="39">
        <v>35165.75</v>
      </c>
      <c r="L186" s="39">
        <v>32377.040000000001</v>
      </c>
      <c r="M186" s="12">
        <f t="shared" si="65"/>
        <v>-1800</v>
      </c>
      <c r="N186" s="12">
        <f t="shared" si="58"/>
        <v>4000</v>
      </c>
      <c r="O186" s="13">
        <f t="shared" si="59"/>
        <v>-134.25</v>
      </c>
      <c r="P186" s="13">
        <f t="shared" si="60"/>
        <v>3865.75</v>
      </c>
      <c r="Q186" s="40" t="s">
        <v>288</v>
      </c>
      <c r="R186" s="45" t="s">
        <v>289</v>
      </c>
      <c r="S186" s="15"/>
      <c r="T186" s="16" t="e">
        <f>#REF!-#REF!</f>
        <v>#REF!</v>
      </c>
      <c r="W186" s="44"/>
      <c r="X186" s="44"/>
      <c r="AA186" s="19"/>
    </row>
    <row r="187" spans="1:27" s="43" customFormat="1" ht="18" hidden="1" customHeight="1" x14ac:dyDescent="0.2">
      <c r="A187" s="53" t="s">
        <v>16</v>
      </c>
      <c r="B187" s="54"/>
      <c r="C187" s="55"/>
      <c r="D187" s="49"/>
      <c r="E187" s="52"/>
      <c r="F187" s="65" t="s">
        <v>290</v>
      </c>
      <c r="G187" s="39"/>
      <c r="H187" s="39"/>
      <c r="I187" s="39">
        <f t="shared" si="77"/>
        <v>0</v>
      </c>
      <c r="J187" s="39">
        <f t="shared" si="77"/>
        <v>0</v>
      </c>
      <c r="K187" s="39"/>
      <c r="L187" s="39"/>
      <c r="M187" s="12">
        <f t="shared" si="65"/>
        <v>0</v>
      </c>
      <c r="N187" s="12">
        <f t="shared" si="58"/>
        <v>0</v>
      </c>
      <c r="O187" s="13">
        <f t="shared" si="59"/>
        <v>0</v>
      </c>
      <c r="P187" s="13">
        <f t="shared" si="60"/>
        <v>0</v>
      </c>
      <c r="Q187" s="14"/>
      <c r="R187" s="14"/>
      <c r="S187" s="15"/>
      <c r="T187" s="16" t="e">
        <f>#REF!-#REF!</f>
        <v>#REF!</v>
      </c>
      <c r="W187" s="44"/>
      <c r="X187" s="44"/>
      <c r="AA187" s="19"/>
    </row>
    <row r="188" spans="1:27" s="43" customFormat="1" ht="18" customHeight="1" x14ac:dyDescent="0.2">
      <c r="A188" s="53" t="s">
        <v>16</v>
      </c>
      <c r="B188" s="54"/>
      <c r="C188" s="55"/>
      <c r="D188" s="49"/>
      <c r="E188" s="52"/>
      <c r="F188" s="65" t="s">
        <v>291</v>
      </c>
      <c r="G188" s="39">
        <v>3200</v>
      </c>
      <c r="H188" s="39">
        <f>CEILING(189.2+3220.42,100)</f>
        <v>3500</v>
      </c>
      <c r="I188" s="39">
        <f t="shared" si="77"/>
        <v>3500</v>
      </c>
      <c r="J188" s="39">
        <v>200</v>
      </c>
      <c r="K188" s="39">
        <v>189.2</v>
      </c>
      <c r="L188" s="39">
        <v>189.2</v>
      </c>
      <c r="M188" s="12">
        <f t="shared" si="65"/>
        <v>-3300</v>
      </c>
      <c r="N188" s="12">
        <f t="shared" si="58"/>
        <v>-3000</v>
      </c>
      <c r="O188" s="13">
        <f t="shared" si="59"/>
        <v>-10.800000000000011</v>
      </c>
      <c r="P188" s="13">
        <f t="shared" si="60"/>
        <v>-3010.8</v>
      </c>
      <c r="Q188" s="45" t="s">
        <v>292</v>
      </c>
      <c r="R188" s="14"/>
      <c r="S188" s="15"/>
      <c r="T188" s="16" t="e">
        <f>#REF!-#REF!</f>
        <v>#REF!</v>
      </c>
      <c r="W188" s="44"/>
      <c r="X188" s="44"/>
      <c r="AA188" s="19"/>
    </row>
    <row r="189" spans="1:27" s="43" customFormat="1" ht="18" hidden="1" customHeight="1" x14ac:dyDescent="0.2">
      <c r="A189" s="53" t="s">
        <v>16</v>
      </c>
      <c r="B189" s="54"/>
      <c r="C189" s="55"/>
      <c r="D189" s="49"/>
      <c r="E189" s="52"/>
      <c r="F189" s="65" t="s">
        <v>293</v>
      </c>
      <c r="G189" s="39"/>
      <c r="H189" s="39"/>
      <c r="I189" s="39">
        <f t="shared" si="77"/>
        <v>0</v>
      </c>
      <c r="J189" s="39">
        <f t="shared" si="77"/>
        <v>0</v>
      </c>
      <c r="K189" s="39"/>
      <c r="L189" s="39"/>
      <c r="M189" s="12">
        <f t="shared" si="65"/>
        <v>0</v>
      </c>
      <c r="N189" s="12">
        <f t="shared" si="58"/>
        <v>0</v>
      </c>
      <c r="O189" s="13">
        <f t="shared" si="59"/>
        <v>0</v>
      </c>
      <c r="P189" s="13">
        <f t="shared" si="60"/>
        <v>0</v>
      </c>
      <c r="Q189" s="14"/>
      <c r="R189" s="14"/>
      <c r="S189" s="15"/>
      <c r="T189" s="16" t="e">
        <f>#REF!-#REF!</f>
        <v>#REF!</v>
      </c>
      <c r="W189" s="44"/>
      <c r="X189" s="44"/>
      <c r="AA189" s="19"/>
    </row>
    <row r="190" spans="1:27" s="43" customFormat="1" ht="18" hidden="1" customHeight="1" x14ac:dyDescent="0.2">
      <c r="A190" s="53" t="s">
        <v>16</v>
      </c>
      <c r="B190" s="54"/>
      <c r="C190" s="55"/>
      <c r="D190" s="49"/>
      <c r="E190" s="52"/>
      <c r="F190" s="65" t="s">
        <v>294</v>
      </c>
      <c r="G190" s="39"/>
      <c r="H190" s="39"/>
      <c r="I190" s="39">
        <f t="shared" si="77"/>
        <v>0</v>
      </c>
      <c r="J190" s="39">
        <f t="shared" si="77"/>
        <v>0</v>
      </c>
      <c r="K190" s="39"/>
      <c r="L190" s="39"/>
      <c r="M190" s="12">
        <f t="shared" si="65"/>
        <v>0</v>
      </c>
      <c r="N190" s="12">
        <f t="shared" si="58"/>
        <v>0</v>
      </c>
      <c r="O190" s="13">
        <f t="shared" si="59"/>
        <v>0</v>
      </c>
      <c r="P190" s="13">
        <f t="shared" si="60"/>
        <v>0</v>
      </c>
      <c r="Q190" s="14"/>
      <c r="R190" s="14"/>
      <c r="S190" s="15"/>
      <c r="T190" s="16" t="e">
        <f>#REF!-#REF!</f>
        <v>#REF!</v>
      </c>
      <c r="W190" s="44"/>
      <c r="X190" s="44"/>
      <c r="AA190" s="19"/>
    </row>
    <row r="191" spans="1:27" s="43" customFormat="1" ht="18" hidden="1" customHeight="1" x14ac:dyDescent="0.2">
      <c r="A191" s="53" t="s">
        <v>16</v>
      </c>
      <c r="B191" s="54"/>
      <c r="C191" s="55"/>
      <c r="D191" s="49"/>
      <c r="E191" s="52"/>
      <c r="F191" s="65" t="s">
        <v>295</v>
      </c>
      <c r="G191" s="39">
        <v>0</v>
      </c>
      <c r="H191" s="39"/>
      <c r="I191" s="39">
        <f t="shared" si="77"/>
        <v>0</v>
      </c>
      <c r="J191" s="39">
        <f>CEILING(500*1.04*1.22,100)</f>
        <v>700</v>
      </c>
      <c r="K191" s="39">
        <v>0</v>
      </c>
      <c r="L191" s="39">
        <v>0</v>
      </c>
      <c r="M191" s="12">
        <f t="shared" si="65"/>
        <v>700</v>
      </c>
      <c r="N191" s="12">
        <f t="shared" si="58"/>
        <v>700</v>
      </c>
      <c r="O191" s="13">
        <f t="shared" si="59"/>
        <v>-700</v>
      </c>
      <c r="P191" s="13">
        <f t="shared" si="60"/>
        <v>0</v>
      </c>
      <c r="Q191" s="45"/>
      <c r="R191" s="14"/>
      <c r="S191" s="15"/>
      <c r="T191" s="16" t="e">
        <f>#REF!-#REF!</f>
        <v>#REF!</v>
      </c>
      <c r="W191" s="44"/>
      <c r="X191" s="44"/>
      <c r="AA191" s="19"/>
    </row>
    <row r="192" spans="1:27" s="43" customFormat="1" ht="18" hidden="1" customHeight="1" x14ac:dyDescent="0.2">
      <c r="A192" s="53" t="s">
        <v>16</v>
      </c>
      <c r="B192" s="54"/>
      <c r="C192" s="55"/>
      <c r="D192" s="49"/>
      <c r="E192" s="52"/>
      <c r="F192" s="65" t="s">
        <v>296</v>
      </c>
      <c r="G192" s="39"/>
      <c r="H192" s="39"/>
      <c r="I192" s="39">
        <f t="shared" si="77"/>
        <v>0</v>
      </c>
      <c r="J192" s="39">
        <f t="shared" si="77"/>
        <v>0</v>
      </c>
      <c r="K192" s="39"/>
      <c r="L192" s="39"/>
      <c r="M192" s="12">
        <f t="shared" si="65"/>
        <v>0</v>
      </c>
      <c r="N192" s="12">
        <f t="shared" si="58"/>
        <v>0</v>
      </c>
      <c r="O192" s="13">
        <f t="shared" si="59"/>
        <v>0</v>
      </c>
      <c r="P192" s="13">
        <f t="shared" si="60"/>
        <v>0</v>
      </c>
      <c r="Q192" s="14"/>
      <c r="R192" s="14"/>
      <c r="S192" s="15"/>
      <c r="T192" s="16" t="e">
        <f>#REF!-#REF!</f>
        <v>#REF!</v>
      </c>
      <c r="W192" s="44"/>
      <c r="X192" s="44"/>
      <c r="AA192" s="19"/>
    </row>
    <row r="193" spans="1:27" s="43" customFormat="1" ht="18" customHeight="1" x14ac:dyDescent="0.2">
      <c r="A193" s="53" t="s">
        <v>16</v>
      </c>
      <c r="B193" s="54"/>
      <c r="C193" s="55"/>
      <c r="D193" s="49"/>
      <c r="E193" s="52"/>
      <c r="F193" s="65" t="s">
        <v>297</v>
      </c>
      <c r="G193" s="39">
        <v>7600</v>
      </c>
      <c r="H193" s="39">
        <f>CEILING(4529.25+1021.75*3,100)</f>
        <v>7600</v>
      </c>
      <c r="I193" s="39">
        <f t="shared" si="77"/>
        <v>7600</v>
      </c>
      <c r="J193" s="39">
        <f>CEILING(6572.75+1021.75,100)</f>
        <v>7600</v>
      </c>
      <c r="K193" s="39">
        <v>7594.5</v>
      </c>
      <c r="L193" s="39">
        <v>6999.14</v>
      </c>
      <c r="M193" s="12">
        <f t="shared" si="65"/>
        <v>0</v>
      </c>
      <c r="N193" s="12">
        <f t="shared" si="58"/>
        <v>0</v>
      </c>
      <c r="O193" s="13">
        <f t="shared" si="59"/>
        <v>-5.5</v>
      </c>
      <c r="P193" s="13">
        <f t="shared" si="60"/>
        <v>-5.5</v>
      </c>
      <c r="Q193" s="45" t="s">
        <v>298</v>
      </c>
      <c r="R193" s="45" t="s">
        <v>298</v>
      </c>
      <c r="S193" s="15"/>
      <c r="T193" s="16" t="e">
        <f>#REF!-#REF!</f>
        <v>#REF!</v>
      </c>
      <c r="W193" s="44"/>
      <c r="X193" s="44"/>
      <c r="AA193" s="19"/>
    </row>
    <row r="194" spans="1:27" s="43" customFormat="1" ht="18" customHeight="1" x14ac:dyDescent="0.2">
      <c r="A194" s="53" t="s">
        <v>16</v>
      </c>
      <c r="B194" s="54"/>
      <c r="C194" s="55"/>
      <c r="D194" s="49"/>
      <c r="E194" s="52"/>
      <c r="F194" s="65" t="s">
        <v>299</v>
      </c>
      <c r="G194" s="39">
        <v>0</v>
      </c>
      <c r="H194" s="39">
        <v>0</v>
      </c>
      <c r="I194" s="39">
        <v>5900</v>
      </c>
      <c r="J194" s="39">
        <v>0</v>
      </c>
      <c r="K194" s="39">
        <v>5824</v>
      </c>
      <c r="L194" s="39">
        <v>0</v>
      </c>
      <c r="M194" s="12">
        <f t="shared" si="65"/>
        <v>-5900</v>
      </c>
      <c r="N194" s="12">
        <f t="shared" ref="N194:N254" si="78">J194-G194</f>
        <v>0</v>
      </c>
      <c r="O194" s="13">
        <f t="shared" ref="O194:O257" si="79">K194-J194</f>
        <v>5824</v>
      </c>
      <c r="P194" s="13">
        <f t="shared" ref="P194:P257" si="80">K194-G194</f>
        <v>5824</v>
      </c>
      <c r="Q194" s="45" t="s">
        <v>300</v>
      </c>
      <c r="R194" s="45" t="s">
        <v>298</v>
      </c>
      <c r="S194" s="15"/>
      <c r="T194" s="16" t="e">
        <f>#REF!-#REF!</f>
        <v>#REF!</v>
      </c>
      <c r="W194" s="44"/>
      <c r="X194" s="44"/>
      <c r="AA194" s="19"/>
    </row>
    <row r="195" spans="1:27" s="43" customFormat="1" ht="18" hidden="1" customHeight="1" x14ac:dyDescent="0.2">
      <c r="A195" s="53" t="s">
        <v>16</v>
      </c>
      <c r="B195" s="54"/>
      <c r="C195" s="55"/>
      <c r="D195" s="49"/>
      <c r="E195" s="52" t="s">
        <v>301</v>
      </c>
      <c r="F195" s="59"/>
      <c r="G195" s="15"/>
      <c r="H195" s="15"/>
      <c r="I195" s="15"/>
      <c r="J195" s="15"/>
      <c r="K195" s="15"/>
      <c r="L195" s="15"/>
      <c r="M195" s="12">
        <f t="shared" si="65"/>
        <v>0</v>
      </c>
      <c r="N195" s="12">
        <f t="shared" si="78"/>
        <v>0</v>
      </c>
      <c r="O195" s="13">
        <f t="shared" si="79"/>
        <v>0</v>
      </c>
      <c r="P195" s="13">
        <f t="shared" si="80"/>
        <v>0</v>
      </c>
      <c r="Q195" s="14"/>
      <c r="R195" s="14"/>
      <c r="S195" s="15"/>
      <c r="T195" s="16" t="e">
        <f>#REF!-#REF!</f>
        <v>#REF!</v>
      </c>
      <c r="W195" s="44"/>
      <c r="X195" s="44"/>
      <c r="AA195" s="19"/>
    </row>
    <row r="196" spans="1:27" s="33" customFormat="1" ht="18" customHeight="1" x14ac:dyDescent="0.2">
      <c r="A196" s="50" t="s">
        <v>16</v>
      </c>
      <c r="B196" s="51"/>
      <c r="C196" s="52"/>
      <c r="D196" s="57"/>
      <c r="E196" s="52" t="s">
        <v>302</v>
      </c>
      <c r="F196" s="59"/>
      <c r="G196" s="67">
        <f t="shared" ref="G196:K196" si="81">G197</f>
        <v>0</v>
      </c>
      <c r="H196" s="67">
        <f t="shared" si="81"/>
        <v>260</v>
      </c>
      <c r="I196" s="67">
        <f t="shared" si="81"/>
        <v>260</v>
      </c>
      <c r="J196" s="67">
        <f t="shared" si="81"/>
        <v>260</v>
      </c>
      <c r="K196" s="67">
        <f t="shared" si="81"/>
        <v>260</v>
      </c>
      <c r="L196" s="67">
        <f>L197</f>
        <v>0</v>
      </c>
      <c r="M196" s="12">
        <f t="shared" si="65"/>
        <v>0</v>
      </c>
      <c r="N196" s="12">
        <f t="shared" si="78"/>
        <v>260</v>
      </c>
      <c r="O196" s="13">
        <f t="shared" si="79"/>
        <v>0</v>
      </c>
      <c r="P196" s="13">
        <f t="shared" si="80"/>
        <v>260</v>
      </c>
      <c r="Q196" s="14"/>
      <c r="R196" s="14"/>
      <c r="S196" s="15"/>
      <c r="T196" s="16" t="e">
        <f>#REF!-#REF!</f>
        <v>#REF!</v>
      </c>
      <c r="W196" s="34"/>
      <c r="X196" s="34"/>
      <c r="AA196" s="19"/>
    </row>
    <row r="197" spans="1:27" s="43" customFormat="1" ht="18" customHeight="1" x14ac:dyDescent="0.2">
      <c r="A197" s="53" t="s">
        <v>16</v>
      </c>
      <c r="B197" s="54"/>
      <c r="C197" s="55"/>
      <c r="D197" s="49"/>
      <c r="E197" s="52"/>
      <c r="F197" s="65" t="s">
        <v>302</v>
      </c>
      <c r="G197" s="39">
        <v>0</v>
      </c>
      <c r="H197" s="39">
        <v>260</v>
      </c>
      <c r="I197" s="39">
        <f>H197</f>
        <v>260</v>
      </c>
      <c r="J197" s="39">
        <f>I197</f>
        <v>260</v>
      </c>
      <c r="K197" s="39">
        <v>260</v>
      </c>
      <c r="L197" s="39">
        <v>0</v>
      </c>
      <c r="M197" s="12">
        <f t="shared" si="65"/>
        <v>0</v>
      </c>
      <c r="N197" s="12">
        <f t="shared" si="78"/>
        <v>260</v>
      </c>
      <c r="O197" s="13">
        <f t="shared" si="79"/>
        <v>0</v>
      </c>
      <c r="P197" s="13">
        <f t="shared" si="80"/>
        <v>260</v>
      </c>
      <c r="Q197" s="45" t="s">
        <v>303</v>
      </c>
      <c r="R197" s="14"/>
      <c r="S197" s="15"/>
      <c r="T197" s="16" t="e">
        <f>#REF!-#REF!</f>
        <v>#REF!</v>
      </c>
      <c r="W197" s="44"/>
      <c r="X197" s="44"/>
      <c r="AA197" s="19"/>
    </row>
    <row r="198" spans="1:27" s="43" customFormat="1" ht="18" hidden="1" customHeight="1" x14ac:dyDescent="0.2">
      <c r="A198" s="53"/>
      <c r="B198" s="54"/>
      <c r="C198" s="55"/>
      <c r="D198" s="49"/>
      <c r="E198" s="52" t="s">
        <v>304</v>
      </c>
      <c r="F198" s="59"/>
      <c r="G198" s="15">
        <f t="shared" ref="G198:K198" si="82">G199</f>
        <v>800</v>
      </c>
      <c r="H198" s="15">
        <f t="shared" si="82"/>
        <v>0</v>
      </c>
      <c r="I198" s="15">
        <f t="shared" si="82"/>
        <v>0</v>
      </c>
      <c r="J198" s="15">
        <f t="shared" si="82"/>
        <v>0</v>
      </c>
      <c r="K198" s="15">
        <f t="shared" si="82"/>
        <v>0</v>
      </c>
      <c r="L198" s="15">
        <f>L199</f>
        <v>0</v>
      </c>
      <c r="M198" s="12">
        <f t="shared" si="65"/>
        <v>0</v>
      </c>
      <c r="N198" s="12">
        <f t="shared" si="78"/>
        <v>-800</v>
      </c>
      <c r="O198" s="13">
        <f t="shared" si="79"/>
        <v>0</v>
      </c>
      <c r="P198" s="13">
        <f t="shared" si="80"/>
        <v>-800</v>
      </c>
      <c r="Q198" s="14"/>
      <c r="R198" s="14"/>
      <c r="S198" s="15"/>
      <c r="T198" s="16" t="e">
        <f>#REF!-#REF!</f>
        <v>#REF!</v>
      </c>
      <c r="W198" s="44"/>
      <c r="X198" s="44"/>
      <c r="AA198" s="19"/>
    </row>
    <row r="199" spans="1:27" s="43" customFormat="1" ht="18" hidden="1" customHeight="1" x14ac:dyDescent="0.2">
      <c r="A199" s="53"/>
      <c r="B199" s="54"/>
      <c r="C199" s="55"/>
      <c r="D199" s="49"/>
      <c r="E199" s="52"/>
      <c r="F199" s="65" t="s">
        <v>305</v>
      </c>
      <c r="G199" s="39">
        <v>800</v>
      </c>
      <c r="H199" s="39">
        <v>0</v>
      </c>
      <c r="I199" s="39">
        <f>H199</f>
        <v>0</v>
      </c>
      <c r="J199" s="39">
        <f>I199</f>
        <v>0</v>
      </c>
      <c r="K199" s="39">
        <v>0</v>
      </c>
      <c r="L199" s="39">
        <v>0</v>
      </c>
      <c r="M199" s="12">
        <f t="shared" si="65"/>
        <v>0</v>
      </c>
      <c r="N199" s="12">
        <f t="shared" si="78"/>
        <v>-800</v>
      </c>
      <c r="O199" s="13">
        <f t="shared" si="79"/>
        <v>0</v>
      </c>
      <c r="P199" s="13">
        <f t="shared" si="80"/>
        <v>-800</v>
      </c>
      <c r="Q199" s="45" t="s">
        <v>306</v>
      </c>
      <c r="R199" s="45" t="s">
        <v>307</v>
      </c>
      <c r="S199" s="15"/>
      <c r="T199" s="16" t="e">
        <f>#REF!-#REF!</f>
        <v>#REF!</v>
      </c>
      <c r="W199" s="44"/>
      <c r="X199" s="44"/>
      <c r="AA199" s="19"/>
    </row>
    <row r="200" spans="1:27" s="17" customFormat="1" ht="18" customHeight="1" x14ac:dyDescent="0.2">
      <c r="A200" s="20" t="s">
        <v>16</v>
      </c>
      <c r="B200" s="48"/>
      <c r="C200" s="49"/>
      <c r="D200" s="49" t="s">
        <v>308</v>
      </c>
      <c r="E200" s="57"/>
      <c r="F200" s="58"/>
      <c r="G200" s="28">
        <f t="shared" ref="G200:K200" si="83">G201</f>
        <v>47300</v>
      </c>
      <c r="H200" s="28">
        <f t="shared" si="83"/>
        <v>45800</v>
      </c>
      <c r="I200" s="28">
        <f t="shared" si="83"/>
        <v>48400</v>
      </c>
      <c r="J200" s="28">
        <f t="shared" si="83"/>
        <v>47680.399999999994</v>
      </c>
      <c r="K200" s="28">
        <f t="shared" si="83"/>
        <v>48450.179999999993</v>
      </c>
      <c r="L200" s="28">
        <f>L201</f>
        <v>44303.229999999996</v>
      </c>
      <c r="M200" s="12">
        <f t="shared" si="65"/>
        <v>-719.60000000000582</v>
      </c>
      <c r="N200" s="12">
        <f t="shared" si="78"/>
        <v>380.39999999999418</v>
      </c>
      <c r="O200" s="13">
        <f t="shared" si="79"/>
        <v>769.77999999999884</v>
      </c>
      <c r="P200" s="13">
        <f t="shared" si="80"/>
        <v>1150.179999999993</v>
      </c>
      <c r="Q200" s="14"/>
      <c r="R200" s="14"/>
      <c r="S200" s="15"/>
      <c r="T200" s="16" t="e">
        <f>#REF!-#REF!</f>
        <v>#REF!</v>
      </c>
      <c r="W200" s="18"/>
      <c r="X200" s="18"/>
      <c r="AA200" s="19"/>
    </row>
    <row r="201" spans="1:27" s="33" customFormat="1" ht="18" customHeight="1" x14ac:dyDescent="0.2">
      <c r="A201" s="50" t="s">
        <v>16</v>
      </c>
      <c r="B201" s="51"/>
      <c r="C201" s="52"/>
      <c r="D201" s="57"/>
      <c r="E201" s="52" t="s">
        <v>309</v>
      </c>
      <c r="F201" s="59"/>
      <c r="G201" s="15">
        <f t="shared" ref="G201:K201" si="84">SUM(G202:G209)</f>
        <v>47300</v>
      </c>
      <c r="H201" s="15">
        <f t="shared" si="84"/>
        <v>45800</v>
      </c>
      <c r="I201" s="15">
        <f t="shared" si="84"/>
        <v>48400</v>
      </c>
      <c r="J201" s="15">
        <f t="shared" si="84"/>
        <v>47680.399999999994</v>
      </c>
      <c r="K201" s="15">
        <f t="shared" si="84"/>
        <v>48450.179999999993</v>
      </c>
      <c r="L201" s="15">
        <f>SUM(L202:L209)</f>
        <v>44303.229999999996</v>
      </c>
      <c r="M201" s="12">
        <f t="shared" si="65"/>
        <v>-719.60000000000582</v>
      </c>
      <c r="N201" s="12">
        <f t="shared" si="78"/>
        <v>380.39999999999418</v>
      </c>
      <c r="O201" s="13">
        <f t="shared" si="79"/>
        <v>769.77999999999884</v>
      </c>
      <c r="P201" s="13">
        <f t="shared" si="80"/>
        <v>1150.179999999993</v>
      </c>
      <c r="Q201" s="14"/>
      <c r="R201" s="14"/>
      <c r="S201" s="15"/>
      <c r="T201" s="16" t="e">
        <f>#REF!-#REF!</f>
        <v>#REF!</v>
      </c>
      <c r="W201" s="34"/>
      <c r="X201" s="34"/>
      <c r="AA201" s="19"/>
    </row>
    <row r="202" spans="1:27" s="43" customFormat="1" ht="18" customHeight="1" x14ac:dyDescent="0.2">
      <c r="A202" s="53" t="s">
        <v>16</v>
      </c>
      <c r="B202" s="54"/>
      <c r="C202" s="55"/>
      <c r="D202" s="49"/>
      <c r="E202" s="52"/>
      <c r="F202" s="65" t="s">
        <v>310</v>
      </c>
      <c r="G202" s="39">
        <v>39000</v>
      </c>
      <c r="H202" s="39">
        <f>CEILING((23036.03+11260.6+2252.1+750+200),100)</f>
        <v>37500</v>
      </c>
      <c r="I202" s="39">
        <v>40100</v>
      </c>
      <c r="J202" s="39">
        <v>39583.14</v>
      </c>
      <c r="K202" s="39">
        <v>40345.879999999997</v>
      </c>
      <c r="L202" s="39">
        <v>36267.82</v>
      </c>
      <c r="M202" s="12">
        <f t="shared" si="65"/>
        <v>-516.86000000000058</v>
      </c>
      <c r="N202" s="12">
        <f t="shared" si="78"/>
        <v>583.13999999999942</v>
      </c>
      <c r="O202" s="13">
        <f t="shared" si="79"/>
        <v>762.73999999999796</v>
      </c>
      <c r="P202" s="13">
        <f t="shared" si="80"/>
        <v>1345.8799999999974</v>
      </c>
      <c r="Q202" s="45"/>
      <c r="R202" s="14"/>
      <c r="S202" s="15"/>
      <c r="T202" s="16" t="e">
        <f>#REF!-#REF!</f>
        <v>#REF!</v>
      </c>
      <c r="W202" s="44"/>
      <c r="X202" s="44"/>
      <c r="AA202" s="19"/>
    </row>
    <row r="203" spans="1:27" s="43" customFormat="1" ht="18" customHeight="1" x14ac:dyDescent="0.2">
      <c r="A203" s="53" t="s">
        <v>16</v>
      </c>
      <c r="B203" s="54"/>
      <c r="C203" s="55"/>
      <c r="D203" s="49"/>
      <c r="E203" s="52"/>
      <c r="F203" s="65" t="s">
        <v>311</v>
      </c>
      <c r="G203" s="39">
        <v>1100</v>
      </c>
      <c r="H203" s="39">
        <f>CEILING(((2252.1+750)*16%)+584.56,100)</f>
        <v>1100</v>
      </c>
      <c r="I203" s="39">
        <f t="shared" ref="I203:J209" si="85">H203</f>
        <v>1100</v>
      </c>
      <c r="J203" s="39">
        <v>931.92</v>
      </c>
      <c r="K203" s="39">
        <v>955.92</v>
      </c>
      <c r="L203" s="39">
        <v>899</v>
      </c>
      <c r="M203" s="12">
        <f t="shared" si="65"/>
        <v>-168.08000000000004</v>
      </c>
      <c r="N203" s="12">
        <f t="shared" si="78"/>
        <v>-168.08000000000004</v>
      </c>
      <c r="O203" s="13">
        <f t="shared" si="79"/>
        <v>24</v>
      </c>
      <c r="P203" s="13">
        <f t="shared" si="80"/>
        <v>-144.08000000000004</v>
      </c>
      <c r="Q203" s="14"/>
      <c r="R203" s="14"/>
      <c r="S203" s="15"/>
      <c r="T203" s="16" t="e">
        <f>#REF!-#REF!</f>
        <v>#REF!</v>
      </c>
      <c r="W203" s="44"/>
      <c r="X203" s="44"/>
      <c r="AA203" s="19"/>
    </row>
    <row r="204" spans="1:27" s="43" customFormat="1" ht="18" customHeight="1" x14ac:dyDescent="0.2">
      <c r="A204" s="53" t="s">
        <v>16</v>
      </c>
      <c r="B204" s="54"/>
      <c r="C204" s="55"/>
      <c r="D204" s="49"/>
      <c r="E204" s="52"/>
      <c r="F204" s="65" t="s">
        <v>312</v>
      </c>
      <c r="G204" s="39">
        <v>100</v>
      </c>
      <c r="H204" s="39">
        <f>G204</f>
        <v>100</v>
      </c>
      <c r="I204" s="39">
        <f t="shared" si="85"/>
        <v>100</v>
      </c>
      <c r="J204" s="39">
        <v>65.34</v>
      </c>
      <c r="K204" s="39">
        <v>63.14</v>
      </c>
      <c r="L204" s="39">
        <v>51.17</v>
      </c>
      <c r="M204" s="12">
        <f t="shared" si="65"/>
        <v>-34.659999999999997</v>
      </c>
      <c r="N204" s="12">
        <f t="shared" si="78"/>
        <v>-34.659999999999997</v>
      </c>
      <c r="O204" s="13">
        <f t="shared" si="79"/>
        <v>-2.2000000000000028</v>
      </c>
      <c r="P204" s="13">
        <f t="shared" si="80"/>
        <v>-36.86</v>
      </c>
      <c r="Q204" s="14"/>
      <c r="R204" s="14"/>
      <c r="S204" s="15"/>
      <c r="T204" s="16" t="e">
        <f>#REF!-#REF!</f>
        <v>#REF!</v>
      </c>
      <c r="W204" s="44"/>
      <c r="X204" s="44"/>
      <c r="AA204" s="19"/>
    </row>
    <row r="205" spans="1:27" s="43" customFormat="1" ht="18" customHeight="1" x14ac:dyDescent="0.2">
      <c r="A205" s="53" t="s">
        <v>16</v>
      </c>
      <c r="B205" s="54"/>
      <c r="C205" s="55"/>
      <c r="D205" s="49"/>
      <c r="E205" s="52"/>
      <c r="F205" s="65" t="s">
        <v>313</v>
      </c>
      <c r="G205" s="39">
        <v>7100</v>
      </c>
      <c r="H205" s="39">
        <f>G205</f>
        <v>7100</v>
      </c>
      <c r="I205" s="39">
        <f t="shared" si="85"/>
        <v>7100</v>
      </c>
      <c r="J205" s="39">
        <f t="shared" si="85"/>
        <v>7100</v>
      </c>
      <c r="K205" s="39">
        <v>7085.24</v>
      </c>
      <c r="L205" s="39">
        <v>7085.24</v>
      </c>
      <c r="M205" s="12">
        <f t="shared" si="65"/>
        <v>0</v>
      </c>
      <c r="N205" s="12">
        <f t="shared" si="78"/>
        <v>0</v>
      </c>
      <c r="O205" s="13">
        <f t="shared" si="79"/>
        <v>-14.760000000000218</v>
      </c>
      <c r="P205" s="13">
        <f t="shared" si="80"/>
        <v>-14.760000000000218</v>
      </c>
      <c r="Q205" s="14"/>
      <c r="R205" s="14"/>
      <c r="S205" s="15"/>
      <c r="T205" s="16" t="e">
        <f>#REF!-#REF!</f>
        <v>#REF!</v>
      </c>
      <c r="W205" s="44"/>
      <c r="X205" s="44"/>
      <c r="AA205" s="19"/>
    </row>
    <row r="206" spans="1:27" s="43" customFormat="1" ht="18" hidden="1" customHeight="1" x14ac:dyDescent="0.2">
      <c r="A206" s="53" t="s">
        <v>16</v>
      </c>
      <c r="B206" s="54"/>
      <c r="C206" s="55"/>
      <c r="D206" s="49"/>
      <c r="E206" s="52"/>
      <c r="F206" s="65" t="s">
        <v>314</v>
      </c>
      <c r="G206" s="39"/>
      <c r="H206" s="39"/>
      <c r="I206" s="39"/>
      <c r="J206" s="39">
        <f t="shared" si="85"/>
        <v>0</v>
      </c>
      <c r="K206" s="39"/>
      <c r="L206" s="39"/>
      <c r="M206" s="12">
        <f t="shared" si="65"/>
        <v>0</v>
      </c>
      <c r="N206" s="12">
        <f t="shared" si="78"/>
        <v>0</v>
      </c>
      <c r="O206" s="13">
        <f t="shared" si="79"/>
        <v>0</v>
      </c>
      <c r="P206" s="13">
        <f t="shared" si="80"/>
        <v>0</v>
      </c>
      <c r="Q206" s="14"/>
      <c r="R206" s="14"/>
      <c r="S206" s="15"/>
      <c r="T206" s="16" t="e">
        <f>#REF!-#REF!</f>
        <v>#REF!</v>
      </c>
      <c r="W206" s="44"/>
      <c r="X206" s="44"/>
      <c r="AA206" s="19"/>
    </row>
    <row r="207" spans="1:27" s="43" customFormat="1" ht="18" hidden="1" customHeight="1" x14ac:dyDescent="0.2">
      <c r="A207" s="53" t="s">
        <v>16</v>
      </c>
      <c r="B207" s="54"/>
      <c r="C207" s="55"/>
      <c r="D207" s="49"/>
      <c r="E207" s="52"/>
      <c r="F207" s="65" t="s">
        <v>315</v>
      </c>
      <c r="G207" s="39"/>
      <c r="H207" s="39"/>
      <c r="I207" s="39"/>
      <c r="J207" s="39">
        <f t="shared" si="85"/>
        <v>0</v>
      </c>
      <c r="K207" s="39"/>
      <c r="L207" s="39"/>
      <c r="M207" s="12">
        <f t="shared" si="65"/>
        <v>0</v>
      </c>
      <c r="N207" s="12">
        <f t="shared" si="78"/>
        <v>0</v>
      </c>
      <c r="O207" s="13">
        <f t="shared" si="79"/>
        <v>0</v>
      </c>
      <c r="P207" s="13">
        <f t="shared" si="80"/>
        <v>0</v>
      </c>
      <c r="Q207" s="14"/>
      <c r="R207" s="14"/>
      <c r="S207" s="15"/>
      <c r="T207" s="16" t="e">
        <f>#REF!-#REF!</f>
        <v>#REF!</v>
      </c>
      <c r="W207" s="44"/>
      <c r="X207" s="44"/>
      <c r="AA207" s="19"/>
    </row>
    <row r="208" spans="1:27" s="43" customFormat="1" ht="18" hidden="1" customHeight="1" x14ac:dyDescent="0.2">
      <c r="A208" s="53" t="s">
        <v>16</v>
      </c>
      <c r="B208" s="54"/>
      <c r="C208" s="55"/>
      <c r="D208" s="49"/>
      <c r="E208" s="52"/>
      <c r="F208" s="65" t="s">
        <v>316</v>
      </c>
      <c r="G208" s="39"/>
      <c r="H208" s="39"/>
      <c r="I208" s="39"/>
      <c r="J208" s="39">
        <f t="shared" si="85"/>
        <v>0</v>
      </c>
      <c r="K208" s="39"/>
      <c r="L208" s="39"/>
      <c r="M208" s="12">
        <f t="shared" si="65"/>
        <v>0</v>
      </c>
      <c r="N208" s="12">
        <f t="shared" si="78"/>
        <v>0</v>
      </c>
      <c r="O208" s="13">
        <f t="shared" si="79"/>
        <v>0</v>
      </c>
      <c r="P208" s="13">
        <f t="shared" si="80"/>
        <v>0</v>
      </c>
      <c r="Q208" s="14"/>
      <c r="R208" s="14"/>
      <c r="S208" s="15"/>
      <c r="T208" s="16" t="e">
        <f>#REF!-#REF!</f>
        <v>#REF!</v>
      </c>
      <c r="W208" s="44"/>
      <c r="X208" s="44"/>
      <c r="AA208" s="19"/>
    </row>
    <row r="209" spans="1:27" s="43" customFormat="1" ht="18" hidden="1" customHeight="1" x14ac:dyDescent="0.2">
      <c r="A209" s="53" t="s">
        <v>16</v>
      </c>
      <c r="B209" s="54"/>
      <c r="C209" s="55"/>
      <c r="D209" s="49"/>
      <c r="E209" s="52"/>
      <c r="F209" s="65" t="s">
        <v>317</v>
      </c>
      <c r="G209" s="39"/>
      <c r="H209" s="39"/>
      <c r="I209" s="39"/>
      <c r="J209" s="39">
        <f t="shared" si="85"/>
        <v>0</v>
      </c>
      <c r="K209" s="39"/>
      <c r="L209" s="39"/>
      <c r="M209" s="12">
        <f t="shared" si="65"/>
        <v>0</v>
      </c>
      <c r="N209" s="12">
        <f t="shared" si="78"/>
        <v>0</v>
      </c>
      <c r="O209" s="13">
        <f t="shared" si="79"/>
        <v>0</v>
      </c>
      <c r="P209" s="13">
        <f t="shared" si="80"/>
        <v>0</v>
      </c>
      <c r="Q209" s="14"/>
      <c r="R209" s="14"/>
      <c r="S209" s="15"/>
      <c r="T209" s="16" t="e">
        <f>#REF!-#REF!</f>
        <v>#REF!</v>
      </c>
      <c r="W209" s="44"/>
      <c r="X209" s="44"/>
      <c r="AA209" s="19"/>
    </row>
    <row r="210" spans="1:27" s="17" customFormat="1" ht="18" customHeight="1" x14ac:dyDescent="0.2">
      <c r="A210" s="20" t="s">
        <v>16</v>
      </c>
      <c r="B210" s="48"/>
      <c r="C210" s="49"/>
      <c r="D210" s="49" t="s">
        <v>318</v>
      </c>
      <c r="E210" s="57"/>
      <c r="F210" s="58"/>
      <c r="G210" s="28">
        <f t="shared" ref="G210:K210" si="86">G211</f>
        <v>88800</v>
      </c>
      <c r="H210" s="28">
        <f t="shared" si="86"/>
        <v>88200</v>
      </c>
      <c r="I210" s="28">
        <f t="shared" si="86"/>
        <v>90400</v>
      </c>
      <c r="J210" s="28">
        <f t="shared" si="86"/>
        <v>90727.66</v>
      </c>
      <c r="K210" s="28">
        <f t="shared" si="86"/>
        <v>97340.220000000016</v>
      </c>
      <c r="L210" s="28">
        <f>L211</f>
        <v>72376.37</v>
      </c>
      <c r="M210" s="12">
        <f t="shared" si="65"/>
        <v>327.66000000000349</v>
      </c>
      <c r="N210" s="12">
        <f t="shared" si="78"/>
        <v>1927.6600000000035</v>
      </c>
      <c r="O210" s="13">
        <f t="shared" si="79"/>
        <v>6612.5600000000122</v>
      </c>
      <c r="P210" s="13">
        <f t="shared" si="80"/>
        <v>8540.2200000000157</v>
      </c>
      <c r="Q210" s="14"/>
      <c r="R210" s="14"/>
      <c r="S210" s="15"/>
      <c r="T210" s="16" t="e">
        <f>#REF!-#REF!</f>
        <v>#REF!</v>
      </c>
      <c r="W210" s="18"/>
      <c r="X210" s="18"/>
      <c r="AA210" s="19"/>
    </row>
    <row r="211" spans="1:27" s="33" customFormat="1" ht="18" customHeight="1" x14ac:dyDescent="0.2">
      <c r="A211" s="50" t="s">
        <v>16</v>
      </c>
      <c r="B211" s="51"/>
      <c r="C211" s="52"/>
      <c r="D211" s="57"/>
      <c r="E211" s="52" t="s">
        <v>318</v>
      </c>
      <c r="F211" s="59"/>
      <c r="G211" s="15">
        <f>SUM(G212:G219)</f>
        <v>88800</v>
      </c>
      <c r="H211" s="15">
        <f t="shared" ref="H211:K211" si="87">SUM(H212:H219)</f>
        <v>88200</v>
      </c>
      <c r="I211" s="15">
        <f t="shared" si="87"/>
        <v>90400</v>
      </c>
      <c r="J211" s="15">
        <f t="shared" si="87"/>
        <v>90727.66</v>
      </c>
      <c r="K211" s="15">
        <f t="shared" si="87"/>
        <v>97340.220000000016</v>
      </c>
      <c r="L211" s="15">
        <f>SUM(L212:L219)</f>
        <v>72376.37</v>
      </c>
      <c r="M211" s="12">
        <f t="shared" si="65"/>
        <v>327.66000000000349</v>
      </c>
      <c r="N211" s="12">
        <f t="shared" si="78"/>
        <v>1927.6600000000035</v>
      </c>
      <c r="O211" s="13">
        <f t="shared" si="79"/>
        <v>6612.5600000000122</v>
      </c>
      <c r="P211" s="13">
        <f t="shared" si="80"/>
        <v>8540.2200000000157</v>
      </c>
      <c r="Q211" s="14"/>
      <c r="R211" s="14"/>
      <c r="S211" s="15"/>
      <c r="T211" s="16" t="e">
        <f>#REF!-#REF!</f>
        <v>#REF!</v>
      </c>
      <c r="W211" s="34"/>
      <c r="X211" s="34"/>
      <c r="AA211" s="19"/>
    </row>
    <row r="212" spans="1:27" s="43" customFormat="1" ht="18" customHeight="1" x14ac:dyDescent="0.2">
      <c r="A212" s="53" t="s">
        <v>16</v>
      </c>
      <c r="B212" s="54"/>
      <c r="C212" s="55"/>
      <c r="D212" s="49"/>
      <c r="E212" s="52"/>
      <c r="F212" s="65" t="s">
        <v>319</v>
      </c>
      <c r="G212" s="39">
        <v>58100</v>
      </c>
      <c r="H212" s="39">
        <f>G212</f>
        <v>58100</v>
      </c>
      <c r="I212" s="39">
        <f>H212</f>
        <v>58100</v>
      </c>
      <c r="J212" s="39">
        <f>I212</f>
        <v>58100</v>
      </c>
      <c r="K212" s="39">
        <v>59635.61</v>
      </c>
      <c r="L212" s="39">
        <v>59316.27</v>
      </c>
      <c r="M212" s="12">
        <f t="shared" si="65"/>
        <v>0</v>
      </c>
      <c r="N212" s="12">
        <f t="shared" si="78"/>
        <v>0</v>
      </c>
      <c r="O212" s="13">
        <f t="shared" si="79"/>
        <v>1535.6100000000006</v>
      </c>
      <c r="P212" s="13">
        <f t="shared" si="80"/>
        <v>1535.6100000000006</v>
      </c>
      <c r="Q212" s="14"/>
      <c r="R212" s="45" t="s">
        <v>320</v>
      </c>
      <c r="S212" s="15"/>
      <c r="T212" s="16" t="e">
        <f>#REF!-#REF!</f>
        <v>#REF!</v>
      </c>
      <c r="W212" s="44"/>
      <c r="X212" s="44"/>
      <c r="AA212" s="19"/>
    </row>
    <row r="213" spans="1:27" s="43" customFormat="1" ht="18" customHeight="1" x14ac:dyDescent="0.2">
      <c r="A213" s="53" t="s">
        <v>16</v>
      </c>
      <c r="B213" s="54"/>
      <c r="C213" s="55"/>
      <c r="D213" s="49"/>
      <c r="E213" s="52"/>
      <c r="F213" s="65" t="s">
        <v>321</v>
      </c>
      <c r="G213" s="39">
        <v>13800</v>
      </c>
      <c r="H213" s="39">
        <f>1900+3500</f>
        <v>5400</v>
      </c>
      <c r="I213" s="39">
        <v>5600</v>
      </c>
      <c r="J213" s="39">
        <v>4727.66</v>
      </c>
      <c r="K213" s="39">
        <v>4727.66</v>
      </c>
      <c r="L213" s="39">
        <v>1816.03</v>
      </c>
      <c r="M213" s="12">
        <f t="shared" ref="M213:M254" si="88">J213-I213</f>
        <v>-872.34000000000015</v>
      </c>
      <c r="N213" s="12">
        <f t="shared" si="78"/>
        <v>-9072.34</v>
      </c>
      <c r="O213" s="13">
        <f t="shared" si="79"/>
        <v>0</v>
      </c>
      <c r="P213" s="13">
        <f t="shared" si="80"/>
        <v>-9072.34</v>
      </c>
      <c r="Q213" s="45"/>
      <c r="R213" s="14"/>
      <c r="S213" s="15"/>
      <c r="T213" s="16" t="e">
        <f>#REF!-#REF!</f>
        <v>#REF!</v>
      </c>
      <c r="W213" s="44"/>
      <c r="X213" s="44"/>
      <c r="AA213" s="19"/>
    </row>
    <row r="214" spans="1:27" s="43" customFormat="1" ht="18" hidden="1" customHeight="1" x14ac:dyDescent="0.2">
      <c r="A214" s="53"/>
      <c r="B214" s="54"/>
      <c r="C214" s="55"/>
      <c r="D214" s="49"/>
      <c r="E214" s="52"/>
      <c r="F214" s="65" t="s">
        <v>322</v>
      </c>
      <c r="G214" s="39"/>
      <c r="H214" s="39"/>
      <c r="I214" s="39">
        <f t="shared" ref="I214:J217" si="89">H214</f>
        <v>0</v>
      </c>
      <c r="J214" s="39">
        <f t="shared" si="89"/>
        <v>0</v>
      </c>
      <c r="K214" s="39"/>
      <c r="L214" s="39"/>
      <c r="M214" s="12">
        <f t="shared" si="88"/>
        <v>0</v>
      </c>
      <c r="N214" s="12">
        <f t="shared" si="78"/>
        <v>0</v>
      </c>
      <c r="O214" s="13">
        <f t="shared" si="79"/>
        <v>0</v>
      </c>
      <c r="P214" s="13">
        <f t="shared" si="80"/>
        <v>0</v>
      </c>
      <c r="Q214" s="14"/>
      <c r="R214" s="14"/>
      <c r="S214" s="15"/>
      <c r="T214" s="16" t="e">
        <f>#REF!-#REF!</f>
        <v>#REF!</v>
      </c>
      <c r="W214" s="44"/>
      <c r="X214" s="44"/>
      <c r="AA214" s="19"/>
    </row>
    <row r="215" spans="1:27" s="43" customFormat="1" ht="18" customHeight="1" x14ac:dyDescent="0.2">
      <c r="A215" s="53" t="s">
        <v>16</v>
      </c>
      <c r="B215" s="54"/>
      <c r="C215" s="55"/>
      <c r="D215" s="49"/>
      <c r="E215" s="52"/>
      <c r="F215" s="65" t="s">
        <v>323</v>
      </c>
      <c r="G215" s="39">
        <v>300</v>
      </c>
      <c r="H215" s="39">
        <f>G215+5000</f>
        <v>5300</v>
      </c>
      <c r="I215" s="39">
        <f>CEILING(1260+5000,100)</f>
        <v>6300</v>
      </c>
      <c r="J215" s="39">
        <v>6900</v>
      </c>
      <c r="K215" s="39">
        <v>6862.85</v>
      </c>
      <c r="L215" s="39">
        <v>740</v>
      </c>
      <c r="M215" s="12">
        <f t="shared" si="88"/>
        <v>600</v>
      </c>
      <c r="N215" s="12">
        <f t="shared" si="78"/>
        <v>6600</v>
      </c>
      <c r="O215" s="13">
        <f t="shared" si="79"/>
        <v>-37.149999999999636</v>
      </c>
      <c r="P215" s="13">
        <f t="shared" si="80"/>
        <v>6562.85</v>
      </c>
      <c r="Q215" s="45" t="s">
        <v>324</v>
      </c>
      <c r="R215" s="72" t="s">
        <v>325</v>
      </c>
      <c r="S215" s="15"/>
      <c r="T215" s="16" t="e">
        <f>#REF!-#REF!</f>
        <v>#REF!</v>
      </c>
      <c r="W215" s="44"/>
      <c r="X215" s="44"/>
      <c r="AA215" s="19"/>
    </row>
    <row r="216" spans="1:27" s="43" customFormat="1" ht="18" customHeight="1" x14ac:dyDescent="0.2">
      <c r="A216" s="53" t="s">
        <v>16</v>
      </c>
      <c r="B216" s="54"/>
      <c r="C216" s="55"/>
      <c r="D216" s="49"/>
      <c r="E216" s="52"/>
      <c r="F216" s="65" t="s">
        <v>326</v>
      </c>
      <c r="G216" s="39">
        <v>8100</v>
      </c>
      <c r="H216" s="39">
        <f>CEILING(832+4774*1.22+1610.4,100)</f>
        <v>8300</v>
      </c>
      <c r="I216" s="39">
        <f>CEILING(1832+1610.4+(4774*1.22),100)</f>
        <v>9300</v>
      </c>
      <c r="J216" s="39">
        <f t="shared" si="89"/>
        <v>9300</v>
      </c>
      <c r="K216" s="39">
        <v>9266.68</v>
      </c>
      <c r="L216" s="39">
        <f>8115.56-738.1</f>
        <v>7377.46</v>
      </c>
      <c r="M216" s="12">
        <f t="shared" si="88"/>
        <v>0</v>
      </c>
      <c r="N216" s="12">
        <f t="shared" si="78"/>
        <v>1200</v>
      </c>
      <c r="O216" s="13">
        <f t="shared" si="79"/>
        <v>-33.319999999999709</v>
      </c>
      <c r="P216" s="13">
        <f t="shared" si="80"/>
        <v>1166.6800000000003</v>
      </c>
      <c r="Q216" s="45" t="s">
        <v>327</v>
      </c>
      <c r="R216" s="45" t="s">
        <v>328</v>
      </c>
      <c r="S216" s="15"/>
      <c r="T216" s="16" t="e">
        <f>#REF!-#REF!</f>
        <v>#REF!</v>
      </c>
      <c r="W216" s="44"/>
      <c r="X216" s="44"/>
      <c r="AA216" s="19"/>
    </row>
    <row r="217" spans="1:27" s="43" customFormat="1" ht="18" customHeight="1" x14ac:dyDescent="0.2">
      <c r="A217" s="53"/>
      <c r="B217" s="54"/>
      <c r="C217" s="55"/>
      <c r="D217" s="49"/>
      <c r="E217" s="52"/>
      <c r="F217" s="65" t="s">
        <v>329</v>
      </c>
      <c r="G217" s="39">
        <v>1000</v>
      </c>
      <c r="H217" s="39">
        <v>3600</v>
      </c>
      <c r="I217" s="39">
        <f>H217</f>
        <v>3600</v>
      </c>
      <c r="J217" s="39">
        <f t="shared" si="89"/>
        <v>3600</v>
      </c>
      <c r="K217" s="39">
        <v>3608.7</v>
      </c>
      <c r="L217" s="39">
        <v>0</v>
      </c>
      <c r="M217" s="12">
        <f t="shared" si="88"/>
        <v>0</v>
      </c>
      <c r="N217" s="12">
        <f t="shared" si="78"/>
        <v>2600</v>
      </c>
      <c r="O217" s="13">
        <f t="shared" si="79"/>
        <v>8.6999999999998181</v>
      </c>
      <c r="P217" s="13">
        <f t="shared" si="80"/>
        <v>2608.6999999999998</v>
      </c>
      <c r="Q217" s="45" t="s">
        <v>330</v>
      </c>
      <c r="R217" s="45"/>
      <c r="S217" s="15"/>
      <c r="T217" s="16" t="e">
        <f>#REF!-#REF!</f>
        <v>#REF!</v>
      </c>
      <c r="W217" s="44"/>
      <c r="X217" s="44"/>
      <c r="AA217" s="19"/>
    </row>
    <row r="218" spans="1:27" s="43" customFormat="1" ht="18" customHeight="1" x14ac:dyDescent="0.2">
      <c r="A218" s="53" t="s">
        <v>16</v>
      </c>
      <c r="B218" s="54"/>
      <c r="C218" s="55"/>
      <c r="D218" s="49"/>
      <c r="E218" s="52"/>
      <c r="F218" s="65" t="s">
        <v>331</v>
      </c>
      <c r="G218" s="39">
        <v>7500</v>
      </c>
      <c r="H218" s="39">
        <f>G218</f>
        <v>7500</v>
      </c>
      <c r="I218" s="39">
        <f t="shared" ref="I218" si="90">H218</f>
        <v>7500</v>
      </c>
      <c r="J218" s="39">
        <f>CEILING(2499.99+((579.5+684.42+134.2)/11*12),100)</f>
        <v>4100</v>
      </c>
      <c r="K218" s="39">
        <v>3898.11</v>
      </c>
      <c r="L218" s="39">
        <v>3126.61</v>
      </c>
      <c r="M218" s="12">
        <f t="shared" si="88"/>
        <v>-3400</v>
      </c>
      <c r="N218" s="12">
        <f t="shared" si="78"/>
        <v>-3400</v>
      </c>
      <c r="O218" s="13">
        <f t="shared" si="79"/>
        <v>-201.88999999999987</v>
      </c>
      <c r="P218" s="13">
        <f t="shared" si="80"/>
        <v>-3601.89</v>
      </c>
      <c r="Q218" s="14"/>
      <c r="R218" s="45" t="s">
        <v>133</v>
      </c>
      <c r="S218" s="15"/>
      <c r="T218" s="16" t="e">
        <f>#REF!-#REF!</f>
        <v>#REF!</v>
      </c>
      <c r="W218" s="44"/>
      <c r="X218" s="44"/>
      <c r="AA218" s="19"/>
    </row>
    <row r="219" spans="1:27" s="43" customFormat="1" ht="18" customHeight="1" x14ac:dyDescent="0.2">
      <c r="A219" s="53" t="s">
        <v>16</v>
      </c>
      <c r="B219" s="54"/>
      <c r="C219" s="55"/>
      <c r="D219" s="49"/>
      <c r="E219" s="52"/>
      <c r="F219" s="65" t="s">
        <v>332</v>
      </c>
      <c r="G219" s="39">
        <v>0</v>
      </c>
      <c r="H219" s="39">
        <f>G219</f>
        <v>0</v>
      </c>
      <c r="I219" s="39">
        <v>0</v>
      </c>
      <c r="J219" s="39">
        <v>4000</v>
      </c>
      <c r="K219" s="39">
        <v>9340.61</v>
      </c>
      <c r="L219" s="39">
        <v>0</v>
      </c>
      <c r="M219" s="12">
        <f t="shared" si="88"/>
        <v>4000</v>
      </c>
      <c r="N219" s="12">
        <f t="shared" si="78"/>
        <v>4000</v>
      </c>
      <c r="O219" s="13">
        <f t="shared" si="79"/>
        <v>5340.6100000000006</v>
      </c>
      <c r="P219" s="13">
        <f t="shared" si="80"/>
        <v>9340.61</v>
      </c>
      <c r="Q219" s="14"/>
      <c r="R219" s="45" t="s">
        <v>133</v>
      </c>
      <c r="S219" s="15"/>
      <c r="T219" s="16" t="e">
        <f>#REF!-#REF!</f>
        <v>#REF!</v>
      </c>
      <c r="W219" s="44"/>
      <c r="X219" s="44"/>
      <c r="AA219" s="19"/>
    </row>
    <row r="220" spans="1:27" s="43" customFormat="1" ht="18" hidden="1" customHeight="1" x14ac:dyDescent="0.2">
      <c r="A220" s="53" t="s">
        <v>16</v>
      </c>
      <c r="B220" s="54"/>
      <c r="C220" s="63" t="s">
        <v>333</v>
      </c>
      <c r="D220" s="63"/>
      <c r="E220" s="64"/>
      <c r="F220" s="22"/>
      <c r="G220" s="11"/>
      <c r="H220" s="11"/>
      <c r="I220" s="11"/>
      <c r="J220" s="11"/>
      <c r="K220" s="11"/>
      <c r="L220" s="11"/>
      <c r="M220" s="12">
        <f t="shared" si="88"/>
        <v>0</v>
      </c>
      <c r="N220" s="12">
        <f t="shared" si="78"/>
        <v>0</v>
      </c>
      <c r="O220" s="13">
        <f t="shared" si="79"/>
        <v>0</v>
      </c>
      <c r="P220" s="13">
        <f t="shared" si="80"/>
        <v>0</v>
      </c>
      <c r="Q220" s="14"/>
      <c r="R220" s="14"/>
      <c r="S220" s="15"/>
      <c r="T220" s="16" t="e">
        <f>#REF!-#REF!</f>
        <v>#REF!</v>
      </c>
      <c r="W220" s="44"/>
      <c r="X220" s="44"/>
      <c r="AA220" s="19"/>
    </row>
    <row r="221" spans="1:27" s="43" customFormat="1" ht="18" hidden="1" customHeight="1" x14ac:dyDescent="0.2">
      <c r="A221" s="53" t="s">
        <v>16</v>
      </c>
      <c r="B221" s="54"/>
      <c r="C221" s="55"/>
      <c r="D221" s="49" t="s">
        <v>334</v>
      </c>
      <c r="E221" s="52"/>
      <c r="F221" s="58"/>
      <c r="G221" s="28"/>
      <c r="H221" s="28"/>
      <c r="I221" s="28"/>
      <c r="J221" s="28"/>
      <c r="K221" s="28"/>
      <c r="L221" s="28"/>
      <c r="M221" s="12">
        <f t="shared" si="88"/>
        <v>0</v>
      </c>
      <c r="N221" s="12">
        <f t="shared" si="78"/>
        <v>0</v>
      </c>
      <c r="O221" s="13">
        <f t="shared" si="79"/>
        <v>0</v>
      </c>
      <c r="P221" s="13">
        <f t="shared" si="80"/>
        <v>0</v>
      </c>
      <c r="Q221" s="14"/>
      <c r="R221" s="14"/>
      <c r="S221" s="15"/>
      <c r="T221" s="16" t="e">
        <f>#REF!-#REF!</f>
        <v>#REF!</v>
      </c>
      <c r="W221" s="44"/>
      <c r="X221" s="44"/>
      <c r="AA221" s="19"/>
    </row>
    <row r="222" spans="1:27" s="43" customFormat="1" ht="18" hidden="1" customHeight="1" x14ac:dyDescent="0.2">
      <c r="A222" s="53" t="s">
        <v>16</v>
      </c>
      <c r="B222" s="54"/>
      <c r="C222" s="55"/>
      <c r="D222" s="49"/>
      <c r="E222" s="52" t="s">
        <v>335</v>
      </c>
      <c r="F222" s="59"/>
      <c r="G222" s="15"/>
      <c r="H222" s="15"/>
      <c r="I222" s="15"/>
      <c r="J222" s="15"/>
      <c r="K222" s="15"/>
      <c r="L222" s="15"/>
      <c r="M222" s="12">
        <f t="shared" si="88"/>
        <v>0</v>
      </c>
      <c r="N222" s="12">
        <f t="shared" si="78"/>
        <v>0</v>
      </c>
      <c r="O222" s="13">
        <f t="shared" si="79"/>
        <v>0</v>
      </c>
      <c r="P222" s="13">
        <f t="shared" si="80"/>
        <v>0</v>
      </c>
      <c r="Q222" s="14"/>
      <c r="R222" s="14"/>
      <c r="S222" s="15"/>
      <c r="T222" s="16" t="e">
        <f>#REF!-#REF!</f>
        <v>#REF!</v>
      </c>
      <c r="W222" s="44"/>
      <c r="X222" s="44"/>
      <c r="AA222" s="19"/>
    </row>
    <row r="223" spans="1:27" s="43" customFormat="1" ht="18" hidden="1" customHeight="1" x14ac:dyDescent="0.2">
      <c r="A223" s="53" t="s">
        <v>16</v>
      </c>
      <c r="B223" s="54"/>
      <c r="C223" s="55"/>
      <c r="D223" s="49"/>
      <c r="E223" s="52"/>
      <c r="F223" s="65" t="s">
        <v>336</v>
      </c>
      <c r="G223" s="88"/>
      <c r="H223" s="88"/>
      <c r="I223" s="88"/>
      <c r="J223" s="88"/>
      <c r="K223" s="88"/>
      <c r="L223" s="88"/>
      <c r="M223" s="12">
        <f t="shared" si="88"/>
        <v>0</v>
      </c>
      <c r="N223" s="12">
        <f t="shared" si="78"/>
        <v>0</v>
      </c>
      <c r="O223" s="13">
        <f t="shared" si="79"/>
        <v>0</v>
      </c>
      <c r="P223" s="13">
        <f t="shared" si="80"/>
        <v>0</v>
      </c>
      <c r="Q223" s="14"/>
      <c r="R223" s="14"/>
      <c r="S223" s="15"/>
      <c r="T223" s="16" t="e">
        <f>#REF!-#REF!</f>
        <v>#REF!</v>
      </c>
      <c r="W223" s="44"/>
      <c r="X223" s="44"/>
      <c r="AA223" s="19"/>
    </row>
    <row r="224" spans="1:27" s="43" customFormat="1" ht="18" hidden="1" customHeight="1" x14ac:dyDescent="0.2">
      <c r="A224" s="53" t="s">
        <v>16</v>
      </c>
      <c r="B224" s="54"/>
      <c r="C224" s="55"/>
      <c r="D224" s="49"/>
      <c r="E224" s="52"/>
      <c r="F224" s="65" t="s">
        <v>337</v>
      </c>
      <c r="G224" s="88"/>
      <c r="H224" s="88"/>
      <c r="I224" s="88"/>
      <c r="J224" s="88"/>
      <c r="K224" s="88"/>
      <c r="L224" s="88"/>
      <c r="M224" s="12">
        <f t="shared" si="88"/>
        <v>0</v>
      </c>
      <c r="N224" s="12">
        <f t="shared" si="78"/>
        <v>0</v>
      </c>
      <c r="O224" s="13">
        <f t="shared" si="79"/>
        <v>0</v>
      </c>
      <c r="P224" s="13">
        <f t="shared" si="80"/>
        <v>0</v>
      </c>
      <c r="Q224" s="14"/>
      <c r="R224" s="14"/>
      <c r="S224" s="15"/>
      <c r="T224" s="16" t="e">
        <f>#REF!-#REF!</f>
        <v>#REF!</v>
      </c>
      <c r="W224" s="44"/>
      <c r="X224" s="44"/>
      <c r="AA224" s="19"/>
    </row>
    <row r="225" spans="1:27" s="43" customFormat="1" ht="18" hidden="1" customHeight="1" x14ac:dyDescent="0.2">
      <c r="A225" s="53" t="s">
        <v>16</v>
      </c>
      <c r="B225" s="54"/>
      <c r="C225" s="55"/>
      <c r="D225" s="49"/>
      <c r="E225" s="52" t="s">
        <v>338</v>
      </c>
      <c r="F225" s="59"/>
      <c r="G225" s="15"/>
      <c r="H225" s="15"/>
      <c r="I225" s="15"/>
      <c r="J225" s="15"/>
      <c r="K225" s="15"/>
      <c r="L225" s="15"/>
      <c r="M225" s="12">
        <f t="shared" si="88"/>
        <v>0</v>
      </c>
      <c r="N225" s="12">
        <f t="shared" si="78"/>
        <v>0</v>
      </c>
      <c r="O225" s="13">
        <f t="shared" si="79"/>
        <v>0</v>
      </c>
      <c r="P225" s="13">
        <f t="shared" si="80"/>
        <v>0</v>
      </c>
      <c r="Q225" s="14"/>
      <c r="R225" s="14"/>
      <c r="S225" s="15"/>
      <c r="T225" s="16" t="e">
        <f>#REF!-#REF!</f>
        <v>#REF!</v>
      </c>
      <c r="W225" s="44"/>
      <c r="X225" s="44"/>
      <c r="AA225" s="19"/>
    </row>
    <row r="226" spans="1:27" s="43" customFormat="1" ht="18" hidden="1" customHeight="1" x14ac:dyDescent="0.2">
      <c r="A226" s="53" t="s">
        <v>16</v>
      </c>
      <c r="B226" s="54"/>
      <c r="C226" s="55"/>
      <c r="D226" s="49"/>
      <c r="E226" s="52"/>
      <c r="F226" s="65" t="s">
        <v>339</v>
      </c>
      <c r="G226" s="88"/>
      <c r="H226" s="88"/>
      <c r="I226" s="88"/>
      <c r="J226" s="88"/>
      <c r="K226" s="88"/>
      <c r="L226" s="88"/>
      <c r="M226" s="12">
        <f t="shared" si="88"/>
        <v>0</v>
      </c>
      <c r="N226" s="12">
        <f t="shared" si="78"/>
        <v>0</v>
      </c>
      <c r="O226" s="13">
        <f t="shared" si="79"/>
        <v>0</v>
      </c>
      <c r="P226" s="13">
        <f t="shared" si="80"/>
        <v>0</v>
      </c>
      <c r="Q226" s="14"/>
      <c r="R226" s="14"/>
      <c r="S226" s="15"/>
      <c r="T226" s="16" t="e">
        <f>#REF!-#REF!</f>
        <v>#REF!</v>
      </c>
      <c r="W226" s="44"/>
      <c r="X226" s="44"/>
      <c r="AA226" s="19"/>
    </row>
    <row r="227" spans="1:27" s="17" customFormat="1" ht="18" customHeight="1" x14ac:dyDescent="0.2">
      <c r="A227" s="20" t="s">
        <v>16</v>
      </c>
      <c r="B227" s="21"/>
      <c r="C227" s="63" t="s">
        <v>340</v>
      </c>
      <c r="D227" s="63"/>
      <c r="E227" s="66"/>
      <c r="F227" s="22"/>
      <c r="G227" s="11">
        <f t="shared" ref="G227:K227" si="91">G228+G231+G239+G242</f>
        <v>10132200</v>
      </c>
      <c r="H227" s="11">
        <f t="shared" si="91"/>
        <v>10134432</v>
      </c>
      <c r="I227" s="11">
        <f t="shared" si="91"/>
        <v>10227100</v>
      </c>
      <c r="J227" s="11">
        <f t="shared" si="91"/>
        <v>10671943.330000002</v>
      </c>
      <c r="K227" s="11">
        <f t="shared" si="91"/>
        <v>10432193.800000001</v>
      </c>
      <c r="L227" s="11">
        <f>L228+L231+L239+L242</f>
        <v>10481057.439999999</v>
      </c>
      <c r="M227" s="12">
        <f t="shared" si="88"/>
        <v>444843.33000000194</v>
      </c>
      <c r="N227" s="12">
        <f t="shared" si="78"/>
        <v>539743.33000000194</v>
      </c>
      <c r="O227" s="13">
        <f t="shared" si="79"/>
        <v>-239749.53000000119</v>
      </c>
      <c r="P227" s="13">
        <f t="shared" si="80"/>
        <v>299993.80000000075</v>
      </c>
      <c r="Q227" s="14"/>
      <c r="R227" s="45" t="s">
        <v>341</v>
      </c>
      <c r="S227" s="89" t="s">
        <v>342</v>
      </c>
      <c r="T227" s="16" t="e">
        <f>#REF!-#REF!</f>
        <v>#REF!</v>
      </c>
      <c r="U227" s="19">
        <v>9301791.7799999993</v>
      </c>
      <c r="W227" s="18"/>
      <c r="X227" s="18"/>
      <c r="AA227" s="19"/>
    </row>
    <row r="228" spans="1:27" s="17" customFormat="1" ht="18" customHeight="1" x14ac:dyDescent="0.2">
      <c r="A228" s="20" t="s">
        <v>16</v>
      </c>
      <c r="B228" s="48"/>
      <c r="C228" s="49"/>
      <c r="D228" s="49" t="s">
        <v>343</v>
      </c>
      <c r="E228" s="57"/>
      <c r="F228" s="58"/>
      <c r="G228" s="28">
        <f t="shared" ref="G228:K229" si="92">G229</f>
        <v>7493400</v>
      </c>
      <c r="H228" s="28">
        <f t="shared" si="92"/>
        <v>7493400</v>
      </c>
      <c r="I228" s="28">
        <f t="shared" si="92"/>
        <v>7493400</v>
      </c>
      <c r="J228" s="28">
        <f t="shared" si="92"/>
        <v>7840617.3600000003</v>
      </c>
      <c r="K228" s="28">
        <f t="shared" si="92"/>
        <v>7841522.7699999996</v>
      </c>
      <c r="L228" s="28">
        <f>L229</f>
        <v>7693292.2300000004</v>
      </c>
      <c r="M228" s="12">
        <f t="shared" si="88"/>
        <v>347217.36000000034</v>
      </c>
      <c r="N228" s="12">
        <f t="shared" si="78"/>
        <v>347217.36000000034</v>
      </c>
      <c r="O228" s="13">
        <f t="shared" si="79"/>
        <v>905.40999999921769</v>
      </c>
      <c r="P228" s="13">
        <f t="shared" si="80"/>
        <v>348122.76999999955</v>
      </c>
      <c r="Q228" s="14"/>
      <c r="R228" s="14"/>
      <c r="S228" s="89" t="s">
        <v>344</v>
      </c>
      <c r="T228" s="16" t="e">
        <f>#REF!-#REF!</f>
        <v>#REF!</v>
      </c>
      <c r="U228" s="80" t="e">
        <f>#REF!+#REF!+#REF!+#REF!+#REF!</f>
        <v>#REF!</v>
      </c>
      <c r="W228" s="18"/>
      <c r="X228" s="18"/>
      <c r="AA228" s="19"/>
    </row>
    <row r="229" spans="1:27" s="33" customFormat="1" ht="18" customHeight="1" x14ac:dyDescent="0.2">
      <c r="A229" s="50" t="s">
        <v>16</v>
      </c>
      <c r="B229" s="51"/>
      <c r="C229" s="52"/>
      <c r="D229" s="57"/>
      <c r="E229" s="52" t="s">
        <v>345</v>
      </c>
      <c r="F229" s="59"/>
      <c r="G229" s="15">
        <f t="shared" si="92"/>
        <v>7493400</v>
      </c>
      <c r="H229" s="15">
        <f t="shared" si="92"/>
        <v>7493400</v>
      </c>
      <c r="I229" s="15">
        <f t="shared" si="92"/>
        <v>7493400</v>
      </c>
      <c r="J229" s="15">
        <f t="shared" si="92"/>
        <v>7840617.3600000003</v>
      </c>
      <c r="K229" s="15">
        <f t="shared" si="92"/>
        <v>7841522.7699999996</v>
      </c>
      <c r="L229" s="15">
        <f>L230</f>
        <v>7693292.2300000004</v>
      </c>
      <c r="M229" s="12">
        <f t="shared" si="88"/>
        <v>347217.36000000034</v>
      </c>
      <c r="N229" s="12">
        <f t="shared" si="78"/>
        <v>347217.36000000034</v>
      </c>
      <c r="O229" s="13">
        <f t="shared" si="79"/>
        <v>905.40999999921769</v>
      </c>
      <c r="P229" s="13">
        <f t="shared" si="80"/>
        <v>348122.76999999955</v>
      </c>
      <c r="Q229" s="14"/>
      <c r="R229" s="14"/>
      <c r="S229" s="15"/>
      <c r="T229" s="16" t="e">
        <f>#REF!-#REF!</f>
        <v>#REF!</v>
      </c>
      <c r="U229" s="19" t="e">
        <f>U227-U228</f>
        <v>#REF!</v>
      </c>
      <c r="W229" s="34"/>
      <c r="X229" s="34"/>
      <c r="AA229" s="19"/>
    </row>
    <row r="230" spans="1:27" s="43" customFormat="1" ht="18" customHeight="1" x14ac:dyDescent="0.2">
      <c r="A230" s="53" t="s">
        <v>16</v>
      </c>
      <c r="B230" s="54"/>
      <c r="C230" s="55"/>
      <c r="D230" s="49"/>
      <c r="E230" s="52"/>
      <c r="F230" s="65" t="s">
        <v>345</v>
      </c>
      <c r="G230" s="39">
        <v>7493400</v>
      </c>
      <c r="H230" s="39">
        <f>G230</f>
        <v>7493400</v>
      </c>
      <c r="I230" s="39">
        <f>H230</f>
        <v>7493400</v>
      </c>
      <c r="J230" s="39">
        <v>7840617.3600000003</v>
      </c>
      <c r="K230" s="39">
        <v>7841522.7699999996</v>
      </c>
      <c r="L230" s="39">
        <v>7693292.2300000004</v>
      </c>
      <c r="M230" s="12">
        <f t="shared" si="88"/>
        <v>347217.36000000034</v>
      </c>
      <c r="N230" s="12">
        <f t="shared" si="78"/>
        <v>347217.36000000034</v>
      </c>
      <c r="O230" s="13">
        <f t="shared" si="79"/>
        <v>905.40999999921769</v>
      </c>
      <c r="P230" s="13">
        <f t="shared" si="80"/>
        <v>348122.76999999955</v>
      </c>
      <c r="Q230" s="14"/>
      <c r="R230" s="45" t="s">
        <v>346</v>
      </c>
      <c r="S230" s="15"/>
      <c r="T230" s="16" t="e">
        <f>#REF!-#REF!</f>
        <v>#REF!</v>
      </c>
      <c r="W230" s="44"/>
      <c r="X230" s="44"/>
      <c r="AA230" s="19"/>
    </row>
    <row r="231" spans="1:27" s="17" customFormat="1" ht="18" customHeight="1" x14ac:dyDescent="0.2">
      <c r="A231" s="20" t="s">
        <v>16</v>
      </c>
      <c r="B231" s="48"/>
      <c r="C231" s="49"/>
      <c r="D231" s="49" t="s">
        <v>347</v>
      </c>
      <c r="E231" s="57"/>
      <c r="F231" s="58"/>
      <c r="G231" s="28">
        <f t="shared" ref="G231:K232" si="93">G232</f>
        <v>2116600</v>
      </c>
      <c r="H231" s="28">
        <f t="shared" si="93"/>
        <v>2116600</v>
      </c>
      <c r="I231" s="28">
        <f t="shared" si="93"/>
        <v>2116600</v>
      </c>
      <c r="J231" s="28">
        <f t="shared" si="93"/>
        <v>2203904.0099999998</v>
      </c>
      <c r="K231" s="28">
        <f t="shared" si="93"/>
        <v>2208145.4700000002</v>
      </c>
      <c r="L231" s="28">
        <f>L232</f>
        <v>2180095.11</v>
      </c>
      <c r="M231" s="12">
        <f t="shared" si="88"/>
        <v>87304.009999999776</v>
      </c>
      <c r="N231" s="12">
        <f t="shared" si="78"/>
        <v>87304.009999999776</v>
      </c>
      <c r="O231" s="13">
        <f t="shared" si="79"/>
        <v>4241.4600000004284</v>
      </c>
      <c r="P231" s="13">
        <f t="shared" si="80"/>
        <v>91545.470000000205</v>
      </c>
      <c r="Q231" s="14"/>
      <c r="R231" s="14"/>
      <c r="S231" s="15"/>
      <c r="T231" s="16" t="e">
        <f>#REF!-#REF!</f>
        <v>#REF!</v>
      </c>
      <c r="U231" s="80" t="e">
        <f>#REF!+#REF!+#REF!</f>
        <v>#REF!</v>
      </c>
      <c r="W231" s="18"/>
      <c r="X231" s="18"/>
      <c r="AA231" s="19"/>
    </row>
    <row r="232" spans="1:27" s="33" customFormat="1" ht="18" customHeight="1" x14ac:dyDescent="0.2">
      <c r="A232" s="50" t="s">
        <v>16</v>
      </c>
      <c r="B232" s="51"/>
      <c r="C232" s="52"/>
      <c r="D232" s="57"/>
      <c r="E232" s="52" t="s">
        <v>348</v>
      </c>
      <c r="F232" s="59"/>
      <c r="G232" s="15">
        <f t="shared" si="93"/>
        <v>2116600</v>
      </c>
      <c r="H232" s="15">
        <f t="shared" si="93"/>
        <v>2116600</v>
      </c>
      <c r="I232" s="15">
        <f t="shared" si="93"/>
        <v>2116600</v>
      </c>
      <c r="J232" s="15">
        <f t="shared" si="93"/>
        <v>2203904.0099999998</v>
      </c>
      <c r="K232" s="15">
        <f t="shared" si="93"/>
        <v>2208145.4700000002</v>
      </c>
      <c r="L232" s="15">
        <f>L233</f>
        <v>2180095.11</v>
      </c>
      <c r="M232" s="12">
        <f t="shared" si="88"/>
        <v>87304.009999999776</v>
      </c>
      <c r="N232" s="12">
        <f t="shared" si="78"/>
        <v>87304.009999999776</v>
      </c>
      <c r="O232" s="13">
        <f t="shared" si="79"/>
        <v>4241.4600000004284</v>
      </c>
      <c r="P232" s="13">
        <f t="shared" si="80"/>
        <v>91545.470000000205</v>
      </c>
      <c r="Q232" s="14"/>
      <c r="R232" s="14"/>
      <c r="S232" s="15"/>
      <c r="T232" s="16" t="e">
        <f>#REF!-#REF!</f>
        <v>#REF!</v>
      </c>
      <c r="W232" s="34"/>
      <c r="X232" s="34"/>
      <c r="AA232" s="19"/>
    </row>
    <row r="233" spans="1:27" s="43" customFormat="1" ht="18" customHeight="1" x14ac:dyDescent="0.2">
      <c r="A233" s="53" t="s">
        <v>16</v>
      </c>
      <c r="B233" s="54"/>
      <c r="C233" s="55"/>
      <c r="D233" s="49"/>
      <c r="E233" s="52"/>
      <c r="F233" s="65" t="s">
        <v>349</v>
      </c>
      <c r="G233" s="39">
        <v>2116600</v>
      </c>
      <c r="H233" s="39">
        <f>G233</f>
        <v>2116600</v>
      </c>
      <c r="I233" s="39">
        <f>H233</f>
        <v>2116600</v>
      </c>
      <c r="J233" s="39">
        <f>2194904.01+9000</f>
        <v>2203904.0099999998</v>
      </c>
      <c r="K233" s="39">
        <v>2208145.4700000002</v>
      </c>
      <c r="L233" s="39">
        <v>2180095.11</v>
      </c>
      <c r="M233" s="12">
        <f t="shared" si="88"/>
        <v>87304.009999999776</v>
      </c>
      <c r="N233" s="12">
        <f t="shared" si="78"/>
        <v>87304.009999999776</v>
      </c>
      <c r="O233" s="13">
        <f t="shared" si="79"/>
        <v>4241.4600000004284</v>
      </c>
      <c r="P233" s="13">
        <f t="shared" si="80"/>
        <v>91545.470000000205</v>
      </c>
      <c r="Q233" s="14"/>
      <c r="R233" s="45" t="s">
        <v>346</v>
      </c>
      <c r="S233" s="15"/>
      <c r="T233" s="16" t="e">
        <f>#REF!-#REF!</f>
        <v>#REF!</v>
      </c>
      <c r="U233" s="70" t="e">
        <f>358952.68+U231</f>
        <v>#REF!</v>
      </c>
      <c r="V233" s="43" t="s">
        <v>350</v>
      </c>
      <c r="W233" s="44"/>
      <c r="X233" s="44"/>
      <c r="AA233" s="19"/>
    </row>
    <row r="234" spans="1:27" s="43" customFormat="1" ht="18" hidden="1" customHeight="1" x14ac:dyDescent="0.2">
      <c r="A234" s="53" t="s">
        <v>16</v>
      </c>
      <c r="B234" s="54"/>
      <c r="C234" s="55"/>
      <c r="D234" s="49"/>
      <c r="E234" s="52" t="s">
        <v>351</v>
      </c>
      <c r="F234" s="59"/>
      <c r="G234" s="15"/>
      <c r="H234" s="15"/>
      <c r="I234" s="15"/>
      <c r="J234" s="15"/>
      <c r="K234" s="15"/>
      <c r="L234" s="15"/>
      <c r="M234" s="12">
        <f t="shared" si="88"/>
        <v>0</v>
      </c>
      <c r="N234" s="12">
        <f t="shared" si="78"/>
        <v>0</v>
      </c>
      <c r="O234" s="13">
        <f t="shared" si="79"/>
        <v>0</v>
      </c>
      <c r="P234" s="13">
        <f t="shared" si="80"/>
        <v>0</v>
      </c>
      <c r="Q234" s="14"/>
      <c r="R234" s="14"/>
      <c r="S234" s="15"/>
      <c r="T234" s="16" t="e">
        <f>#REF!-#REF!</f>
        <v>#REF!</v>
      </c>
      <c r="W234" s="44"/>
      <c r="X234" s="44"/>
      <c r="AA234" s="19"/>
    </row>
    <row r="235" spans="1:27" s="43" customFormat="1" ht="18" hidden="1" customHeight="1" x14ac:dyDescent="0.2">
      <c r="A235" s="53" t="s">
        <v>16</v>
      </c>
      <c r="B235" s="54"/>
      <c r="C235" s="55"/>
      <c r="D235" s="49"/>
      <c r="E235" s="52"/>
      <c r="F235" s="65" t="s">
        <v>352</v>
      </c>
      <c r="G235" s="60"/>
      <c r="H235" s="60"/>
      <c r="I235" s="60"/>
      <c r="J235" s="60"/>
      <c r="K235" s="60"/>
      <c r="L235" s="60"/>
      <c r="M235" s="12">
        <f t="shared" si="88"/>
        <v>0</v>
      </c>
      <c r="N235" s="12">
        <f t="shared" si="78"/>
        <v>0</v>
      </c>
      <c r="O235" s="13">
        <f t="shared" si="79"/>
        <v>0</v>
      </c>
      <c r="P235" s="13">
        <f t="shared" si="80"/>
        <v>0</v>
      </c>
      <c r="Q235" s="14"/>
      <c r="R235" s="14"/>
      <c r="S235" s="15"/>
      <c r="T235" s="16" t="e">
        <f>#REF!-#REF!</f>
        <v>#REF!</v>
      </c>
      <c r="W235" s="44"/>
      <c r="X235" s="44"/>
      <c r="AA235" s="19"/>
    </row>
    <row r="236" spans="1:27" s="43" customFormat="1" ht="18" hidden="1" customHeight="1" x14ac:dyDescent="0.2">
      <c r="A236" s="53" t="s">
        <v>16</v>
      </c>
      <c r="B236" s="54"/>
      <c r="C236" s="90"/>
      <c r="D236" s="91"/>
      <c r="E236" s="92"/>
      <c r="F236" s="93" t="s">
        <v>353</v>
      </c>
      <c r="G236" s="94"/>
      <c r="H236" s="94"/>
      <c r="I236" s="94"/>
      <c r="J236" s="94"/>
      <c r="K236" s="94"/>
      <c r="L236" s="94"/>
      <c r="M236" s="12">
        <f t="shared" si="88"/>
        <v>0</v>
      </c>
      <c r="N236" s="12">
        <f t="shared" si="78"/>
        <v>0</v>
      </c>
      <c r="O236" s="13">
        <f t="shared" si="79"/>
        <v>0</v>
      </c>
      <c r="P236" s="13">
        <f t="shared" si="80"/>
        <v>0</v>
      </c>
      <c r="Q236" s="95"/>
      <c r="R236" s="95"/>
      <c r="S236" s="15"/>
      <c r="T236" s="16" t="e">
        <f>#REF!-#REF!</f>
        <v>#REF!</v>
      </c>
      <c r="W236" s="44"/>
      <c r="X236" s="44"/>
      <c r="AA236" s="19"/>
    </row>
    <row r="237" spans="1:27" s="43" customFormat="1" ht="18" hidden="1" customHeight="1" x14ac:dyDescent="0.2">
      <c r="A237" s="53" t="s">
        <v>16</v>
      </c>
      <c r="B237" s="54"/>
      <c r="C237" s="55"/>
      <c r="D237" s="49"/>
      <c r="E237" s="52" t="s">
        <v>354</v>
      </c>
      <c r="F237" s="59"/>
      <c r="G237" s="15"/>
      <c r="H237" s="15"/>
      <c r="I237" s="15"/>
      <c r="J237" s="15"/>
      <c r="K237" s="15"/>
      <c r="L237" s="15"/>
      <c r="M237" s="12">
        <f t="shared" si="88"/>
        <v>0</v>
      </c>
      <c r="N237" s="12">
        <f t="shared" si="78"/>
        <v>0</v>
      </c>
      <c r="O237" s="13">
        <f t="shared" si="79"/>
        <v>0</v>
      </c>
      <c r="P237" s="13">
        <f t="shared" si="80"/>
        <v>0</v>
      </c>
      <c r="Q237" s="14"/>
      <c r="R237" s="14"/>
      <c r="S237" s="15"/>
      <c r="T237" s="16" t="e">
        <f>#REF!-#REF!</f>
        <v>#REF!</v>
      </c>
      <c r="W237" s="44"/>
      <c r="X237" s="44"/>
      <c r="AA237" s="19"/>
    </row>
    <row r="238" spans="1:27" s="43" customFormat="1" ht="18" hidden="1" customHeight="1" x14ac:dyDescent="0.2">
      <c r="A238" s="53" t="s">
        <v>16</v>
      </c>
      <c r="B238" s="96"/>
      <c r="C238" s="55"/>
      <c r="D238" s="49"/>
      <c r="E238" s="52"/>
      <c r="F238" s="65" t="s">
        <v>354</v>
      </c>
      <c r="G238" s="60"/>
      <c r="H238" s="60"/>
      <c r="I238" s="60"/>
      <c r="J238" s="60"/>
      <c r="K238" s="60"/>
      <c r="L238" s="60"/>
      <c r="M238" s="12">
        <f t="shared" si="88"/>
        <v>0</v>
      </c>
      <c r="N238" s="12">
        <f t="shared" si="78"/>
        <v>0</v>
      </c>
      <c r="O238" s="13">
        <f t="shared" si="79"/>
        <v>0</v>
      </c>
      <c r="P238" s="13">
        <f t="shared" si="80"/>
        <v>0</v>
      </c>
      <c r="Q238" s="14"/>
      <c r="R238" s="14"/>
      <c r="S238" s="15"/>
      <c r="T238" s="16" t="e">
        <f>#REF!-#REF!</f>
        <v>#REF!</v>
      </c>
      <c r="W238" s="44"/>
      <c r="X238" s="44"/>
      <c r="AA238" s="19"/>
    </row>
    <row r="239" spans="1:27" s="17" customFormat="1" ht="18" customHeight="1" x14ac:dyDescent="0.2">
      <c r="A239" s="20" t="s">
        <v>16</v>
      </c>
      <c r="B239" s="48"/>
      <c r="C239" s="49"/>
      <c r="D239" s="49" t="s">
        <v>355</v>
      </c>
      <c r="E239" s="57"/>
      <c r="F239" s="58"/>
      <c r="G239" s="28">
        <f t="shared" ref="G239:K240" si="94">G240</f>
        <v>320800</v>
      </c>
      <c r="H239" s="28">
        <f t="shared" si="94"/>
        <v>320800</v>
      </c>
      <c r="I239" s="28">
        <f t="shared" si="94"/>
        <v>320800</v>
      </c>
      <c r="J239" s="28">
        <f t="shared" si="94"/>
        <v>320800</v>
      </c>
      <c r="K239" s="28">
        <f t="shared" si="94"/>
        <v>76524.850000000006</v>
      </c>
      <c r="L239" s="28">
        <f>L240</f>
        <v>423351.07</v>
      </c>
      <c r="M239" s="12">
        <f t="shared" si="88"/>
        <v>0</v>
      </c>
      <c r="N239" s="12">
        <f t="shared" si="78"/>
        <v>0</v>
      </c>
      <c r="O239" s="13">
        <f t="shared" si="79"/>
        <v>-244275.15</v>
      </c>
      <c r="P239" s="13">
        <f t="shared" si="80"/>
        <v>-244275.15</v>
      </c>
      <c r="Q239" s="14"/>
      <c r="R239" s="14"/>
      <c r="S239" s="15"/>
      <c r="T239" s="16" t="e">
        <f>#REF!-#REF!</f>
        <v>#REF!</v>
      </c>
      <c r="W239" s="18"/>
      <c r="X239" s="18"/>
      <c r="AA239" s="19"/>
    </row>
    <row r="240" spans="1:27" s="33" customFormat="1" ht="18" customHeight="1" x14ac:dyDescent="0.2">
      <c r="A240" s="50" t="s">
        <v>16</v>
      </c>
      <c r="B240" s="51"/>
      <c r="C240" s="97"/>
      <c r="D240" s="98"/>
      <c r="E240" s="97" t="s">
        <v>356</v>
      </c>
      <c r="F240" s="99"/>
      <c r="G240" s="100">
        <f t="shared" si="94"/>
        <v>320800</v>
      </c>
      <c r="H240" s="100">
        <f t="shared" si="94"/>
        <v>320800</v>
      </c>
      <c r="I240" s="100">
        <f t="shared" si="94"/>
        <v>320800</v>
      </c>
      <c r="J240" s="100">
        <f t="shared" si="94"/>
        <v>320800</v>
      </c>
      <c r="K240" s="100">
        <f t="shared" si="94"/>
        <v>76524.850000000006</v>
      </c>
      <c r="L240" s="100">
        <f>L241</f>
        <v>423351.07</v>
      </c>
      <c r="M240" s="12">
        <f t="shared" si="88"/>
        <v>0</v>
      </c>
      <c r="N240" s="12">
        <f t="shared" si="78"/>
        <v>0</v>
      </c>
      <c r="O240" s="13">
        <f t="shared" si="79"/>
        <v>-244275.15</v>
      </c>
      <c r="P240" s="13">
        <f t="shared" si="80"/>
        <v>-244275.15</v>
      </c>
      <c r="Q240" s="101"/>
      <c r="R240" s="101"/>
      <c r="S240" s="15"/>
      <c r="T240" s="16" t="e">
        <f>#REF!-#REF!</f>
        <v>#REF!</v>
      </c>
      <c r="W240" s="34"/>
      <c r="X240" s="34"/>
      <c r="AA240" s="19"/>
    </row>
    <row r="241" spans="1:28" s="43" customFormat="1" ht="18" customHeight="1" x14ac:dyDescent="0.2">
      <c r="A241" s="53" t="s">
        <v>16</v>
      </c>
      <c r="B241" s="54"/>
      <c r="C241" s="55"/>
      <c r="D241" s="49"/>
      <c r="E241" s="52"/>
      <c r="F241" s="65" t="s">
        <v>356</v>
      </c>
      <c r="G241" s="39">
        <v>320800</v>
      </c>
      <c r="H241" s="39">
        <f>G241</f>
        <v>320800</v>
      </c>
      <c r="I241" s="39">
        <f>H241</f>
        <v>320800</v>
      </c>
      <c r="J241" s="39">
        <f>I241</f>
        <v>320800</v>
      </c>
      <c r="K241" s="39">
        <v>76524.850000000006</v>
      </c>
      <c r="L241" s="39">
        <v>423351.07</v>
      </c>
      <c r="M241" s="12">
        <f t="shared" si="88"/>
        <v>0</v>
      </c>
      <c r="N241" s="12">
        <f t="shared" si="78"/>
        <v>0</v>
      </c>
      <c r="O241" s="13">
        <f t="shared" si="79"/>
        <v>-244275.15</v>
      </c>
      <c r="P241" s="13">
        <f t="shared" si="80"/>
        <v>-244275.15</v>
      </c>
      <c r="Q241" s="45"/>
      <c r="R241" s="14"/>
      <c r="S241" s="15" t="s">
        <v>357</v>
      </c>
      <c r="T241" s="16" t="e">
        <f>#REF!-#REF!</f>
        <v>#REF!</v>
      </c>
      <c r="W241" s="44"/>
      <c r="X241" s="44"/>
      <c r="AA241" s="19"/>
    </row>
    <row r="242" spans="1:28" s="17" customFormat="1" ht="18" customHeight="1" x14ac:dyDescent="0.2">
      <c r="A242" s="20" t="s">
        <v>16</v>
      </c>
      <c r="B242" s="48"/>
      <c r="C242" s="49"/>
      <c r="D242" s="49" t="s">
        <v>358</v>
      </c>
      <c r="E242" s="57"/>
      <c r="F242" s="58"/>
      <c r="G242" s="28">
        <f t="shared" ref="G242:K242" si="95">G243</f>
        <v>201400</v>
      </c>
      <c r="H242" s="28">
        <f t="shared" si="95"/>
        <v>203632</v>
      </c>
      <c r="I242" s="28">
        <f t="shared" si="95"/>
        <v>296300</v>
      </c>
      <c r="J242" s="28">
        <f t="shared" si="95"/>
        <v>306621.95999999996</v>
      </c>
      <c r="K242" s="28">
        <f t="shared" si="95"/>
        <v>306000.70999999996</v>
      </c>
      <c r="L242" s="28">
        <f>L243</f>
        <v>184319.03</v>
      </c>
      <c r="M242" s="12">
        <f t="shared" si="88"/>
        <v>10321.959999999963</v>
      </c>
      <c r="N242" s="12">
        <f t="shared" si="78"/>
        <v>105221.95999999996</v>
      </c>
      <c r="O242" s="13">
        <f t="shared" si="79"/>
        <v>-621.25</v>
      </c>
      <c r="P242" s="13">
        <f t="shared" si="80"/>
        <v>104600.70999999996</v>
      </c>
      <c r="Q242" s="14"/>
      <c r="R242" s="14"/>
      <c r="S242" s="15"/>
      <c r="T242" s="16" t="e">
        <f>#REF!-#REF!</f>
        <v>#REF!</v>
      </c>
      <c r="W242" s="18"/>
      <c r="X242" s="18"/>
      <c r="AA242" s="19"/>
    </row>
    <row r="243" spans="1:28" s="33" customFormat="1" ht="18" customHeight="1" x14ac:dyDescent="0.2">
      <c r="A243" s="50" t="s">
        <v>16</v>
      </c>
      <c r="B243" s="51"/>
      <c r="C243" s="52"/>
      <c r="D243" s="57"/>
      <c r="E243" s="52" t="s">
        <v>359</v>
      </c>
      <c r="F243" s="59"/>
      <c r="G243" s="15">
        <f t="shared" ref="G243:K243" si="96">SUM(G244:G254)</f>
        <v>201400</v>
      </c>
      <c r="H243" s="15">
        <f t="shared" si="96"/>
        <v>203632</v>
      </c>
      <c r="I243" s="15">
        <f t="shared" si="96"/>
        <v>296300</v>
      </c>
      <c r="J243" s="15">
        <f t="shared" si="96"/>
        <v>306621.95999999996</v>
      </c>
      <c r="K243" s="15">
        <f t="shared" si="96"/>
        <v>306000.70999999996</v>
      </c>
      <c r="L243" s="15">
        <f>SUM(L244:L254)</f>
        <v>184319.03</v>
      </c>
      <c r="M243" s="12">
        <f t="shared" si="88"/>
        <v>10321.959999999963</v>
      </c>
      <c r="N243" s="12">
        <f t="shared" si="78"/>
        <v>105221.95999999996</v>
      </c>
      <c r="O243" s="13">
        <f t="shared" si="79"/>
        <v>-621.25</v>
      </c>
      <c r="P243" s="13">
        <f t="shared" si="80"/>
        <v>104600.70999999996</v>
      </c>
      <c r="Q243" s="14"/>
      <c r="R243" s="14"/>
      <c r="S243" s="15"/>
      <c r="T243" s="16" t="e">
        <f>#REF!-#REF!</f>
        <v>#REF!</v>
      </c>
      <c r="W243" s="34"/>
      <c r="X243" s="34"/>
      <c r="AA243" s="19"/>
    </row>
    <row r="244" spans="1:28" s="43" customFormat="1" ht="18" customHeight="1" x14ac:dyDescent="0.2">
      <c r="A244" s="53" t="s">
        <v>16</v>
      </c>
      <c r="B244" s="54"/>
      <c r="C244" s="55"/>
      <c r="D244" s="49"/>
      <c r="E244" s="52"/>
      <c r="F244" s="65" t="s">
        <v>360</v>
      </c>
      <c r="G244" s="39">
        <v>7100</v>
      </c>
      <c r="H244" s="39">
        <f>G244</f>
        <v>7100</v>
      </c>
      <c r="I244" s="39">
        <f>H244</f>
        <v>7100</v>
      </c>
      <c r="J244" s="39">
        <v>7303.9</v>
      </c>
      <c r="K244" s="39">
        <v>7337.9</v>
      </c>
      <c r="L244" s="39">
        <v>5832.3</v>
      </c>
      <c r="M244" s="12">
        <f t="shared" si="88"/>
        <v>203.89999999999964</v>
      </c>
      <c r="N244" s="12">
        <f t="shared" si="78"/>
        <v>203.89999999999964</v>
      </c>
      <c r="O244" s="13">
        <f t="shared" si="79"/>
        <v>34</v>
      </c>
      <c r="P244" s="13">
        <f t="shared" si="80"/>
        <v>237.89999999999964</v>
      </c>
      <c r="Q244" s="14"/>
      <c r="R244" s="14"/>
      <c r="S244" s="15"/>
      <c r="T244" s="16" t="e">
        <f>#REF!-#REF!</f>
        <v>#REF!</v>
      </c>
      <c r="W244" s="44"/>
      <c r="X244" s="44"/>
      <c r="AA244" s="19"/>
    </row>
    <row r="245" spans="1:28" s="43" customFormat="1" ht="18" customHeight="1" x14ac:dyDescent="0.2">
      <c r="A245" s="53" t="s">
        <v>16</v>
      </c>
      <c r="B245" s="54"/>
      <c r="C245" s="55"/>
      <c r="D245" s="49"/>
      <c r="E245" s="52"/>
      <c r="F245" s="65" t="s">
        <v>361</v>
      </c>
      <c r="G245" s="39">
        <v>30000</v>
      </c>
      <c r="H245" s="39">
        <f>CEILING(19644.74-5310.59+7500,100)</f>
        <v>21900</v>
      </c>
      <c r="I245" s="39">
        <f t="shared" ref="I245:J254" si="97">H245</f>
        <v>21900</v>
      </c>
      <c r="J245" s="39">
        <f>CEILING(26348.62+300-5310.59,100)</f>
        <v>21400</v>
      </c>
      <c r="K245" s="39">
        <v>20041.150000000001</v>
      </c>
      <c r="L245" s="39">
        <v>17699.830000000002</v>
      </c>
      <c r="M245" s="12">
        <f t="shared" si="88"/>
        <v>-500</v>
      </c>
      <c r="N245" s="12">
        <f t="shared" si="78"/>
        <v>-8600</v>
      </c>
      <c r="O245" s="13">
        <f t="shared" si="79"/>
        <v>-1358.8499999999985</v>
      </c>
      <c r="P245" s="13">
        <f t="shared" si="80"/>
        <v>-9958.8499999999985</v>
      </c>
      <c r="Q245" s="14"/>
      <c r="R245" s="14"/>
      <c r="S245" s="15"/>
      <c r="T245" s="16" t="e">
        <f>#REF!-#REF!</f>
        <v>#REF!</v>
      </c>
      <c r="W245" s="44"/>
      <c r="X245" s="44"/>
      <c r="AA245" s="19"/>
    </row>
    <row r="246" spans="1:28" s="43" customFormat="1" ht="18" customHeight="1" x14ac:dyDescent="0.2">
      <c r="A246" s="53" t="s">
        <v>16</v>
      </c>
      <c r="B246" s="54"/>
      <c r="C246" s="55"/>
      <c r="D246" s="49"/>
      <c r="E246" s="52"/>
      <c r="F246" s="65" t="s">
        <v>362</v>
      </c>
      <c r="G246" s="39">
        <v>4200</v>
      </c>
      <c r="H246" s="39">
        <f>G246</f>
        <v>4200</v>
      </c>
      <c r="I246" s="39">
        <f t="shared" si="97"/>
        <v>4200</v>
      </c>
      <c r="J246" s="39">
        <v>4200</v>
      </c>
      <c r="K246" s="39">
        <v>4124.72</v>
      </c>
      <c r="L246" s="39">
        <v>4120.32</v>
      </c>
      <c r="M246" s="12">
        <f t="shared" si="88"/>
        <v>0</v>
      </c>
      <c r="N246" s="12">
        <f t="shared" si="78"/>
        <v>0</v>
      </c>
      <c r="O246" s="13">
        <f t="shared" si="79"/>
        <v>-75.279999999999745</v>
      </c>
      <c r="P246" s="13">
        <f t="shared" si="80"/>
        <v>-75.279999999999745</v>
      </c>
      <c r="Q246" s="14"/>
      <c r="R246" s="14"/>
      <c r="S246" s="15"/>
      <c r="T246" s="16" t="e">
        <f>#REF!-#REF!</f>
        <v>#REF!</v>
      </c>
      <c r="W246" s="44"/>
      <c r="X246" s="44"/>
      <c r="AA246" s="19"/>
    </row>
    <row r="247" spans="1:28" s="43" customFormat="1" ht="18" customHeight="1" x14ac:dyDescent="0.2">
      <c r="A247" s="53" t="s">
        <v>16</v>
      </c>
      <c r="B247" s="54"/>
      <c r="C247" s="55"/>
      <c r="D247" s="49"/>
      <c r="E247" s="52"/>
      <c r="F247" s="65" t="s">
        <v>363</v>
      </c>
      <c r="G247" s="39">
        <v>30000</v>
      </c>
      <c r="H247" s="39">
        <f t="shared" ref="H247:H249" si="98">G247</f>
        <v>30000</v>
      </c>
      <c r="I247" s="39">
        <f t="shared" si="97"/>
        <v>30000</v>
      </c>
      <c r="J247" s="39">
        <f t="shared" si="97"/>
        <v>30000</v>
      </c>
      <c r="K247" s="39">
        <v>30090.84</v>
      </c>
      <c r="L247" s="39">
        <v>23930.85</v>
      </c>
      <c r="M247" s="12">
        <f t="shared" si="88"/>
        <v>0</v>
      </c>
      <c r="N247" s="12">
        <f t="shared" si="78"/>
        <v>0</v>
      </c>
      <c r="O247" s="13">
        <f t="shared" si="79"/>
        <v>90.840000000000146</v>
      </c>
      <c r="P247" s="13">
        <f t="shared" si="80"/>
        <v>90.840000000000146</v>
      </c>
      <c r="Q247" s="14"/>
      <c r="R247" s="14"/>
      <c r="S247" s="15"/>
      <c r="T247" s="16" t="e">
        <f>#REF!-#REF!</f>
        <v>#REF!</v>
      </c>
      <c r="W247" s="44"/>
      <c r="X247" s="44"/>
      <c r="AA247" s="19"/>
    </row>
    <row r="248" spans="1:28" s="43" customFormat="1" ht="18" customHeight="1" x14ac:dyDescent="0.2">
      <c r="A248" s="53" t="s">
        <v>16</v>
      </c>
      <c r="B248" s="54"/>
      <c r="C248" s="55"/>
      <c r="D248" s="49"/>
      <c r="E248" s="52"/>
      <c r="F248" s="65" t="s">
        <v>364</v>
      </c>
      <c r="G248" s="39">
        <v>2500</v>
      </c>
      <c r="H248" s="39">
        <f>CEILING(1779.13/7*12,100)</f>
        <v>3100</v>
      </c>
      <c r="I248" s="39">
        <f t="shared" si="97"/>
        <v>3100</v>
      </c>
      <c r="J248" s="39">
        <v>3198.54</v>
      </c>
      <c r="K248" s="39">
        <v>3164.88</v>
      </c>
      <c r="L248" s="39">
        <f>2503.37+149.58</f>
        <v>2652.95</v>
      </c>
      <c r="M248" s="12">
        <f t="shared" si="88"/>
        <v>98.539999999999964</v>
      </c>
      <c r="N248" s="12">
        <f t="shared" si="78"/>
        <v>698.54</v>
      </c>
      <c r="O248" s="13">
        <f t="shared" si="79"/>
        <v>-33.659999999999854</v>
      </c>
      <c r="P248" s="13">
        <f t="shared" si="80"/>
        <v>664.88000000000011</v>
      </c>
      <c r="Q248" s="14"/>
      <c r="R248" s="14"/>
      <c r="S248" s="15"/>
      <c r="T248" s="16" t="e">
        <f>#REF!-#REF!</f>
        <v>#REF!</v>
      </c>
      <c r="W248" s="44"/>
      <c r="X248" s="44"/>
      <c r="AA248" s="19"/>
    </row>
    <row r="249" spans="1:28" s="43" customFormat="1" ht="18" hidden="1" customHeight="1" x14ac:dyDescent="0.2">
      <c r="A249" s="53" t="s">
        <v>16</v>
      </c>
      <c r="B249" s="54"/>
      <c r="C249" s="55"/>
      <c r="D249" s="49"/>
      <c r="E249" s="52"/>
      <c r="F249" s="65" t="s">
        <v>365</v>
      </c>
      <c r="G249" s="39"/>
      <c r="H249" s="39">
        <f t="shared" si="98"/>
        <v>0</v>
      </c>
      <c r="I249" s="39">
        <f t="shared" si="97"/>
        <v>0</v>
      </c>
      <c r="J249" s="39">
        <f t="shared" si="97"/>
        <v>0</v>
      </c>
      <c r="K249" s="39"/>
      <c r="L249" s="39"/>
      <c r="M249" s="12">
        <f t="shared" si="88"/>
        <v>0</v>
      </c>
      <c r="N249" s="12">
        <f t="shared" si="78"/>
        <v>0</v>
      </c>
      <c r="O249" s="13">
        <f t="shared" si="79"/>
        <v>0</v>
      </c>
      <c r="P249" s="13">
        <f t="shared" si="80"/>
        <v>0</v>
      </c>
      <c r="Q249" s="14"/>
      <c r="R249" s="14"/>
      <c r="S249" s="15"/>
      <c r="T249" s="16" t="e">
        <f>#REF!-#REF!</f>
        <v>#REF!</v>
      </c>
      <c r="W249" s="44"/>
      <c r="X249" s="44"/>
      <c r="AA249" s="19"/>
    </row>
    <row r="250" spans="1:28" s="43" customFormat="1" ht="18" customHeight="1" x14ac:dyDescent="0.2">
      <c r="A250" s="53" t="s">
        <v>16</v>
      </c>
      <c r="B250" s="54"/>
      <c r="C250" s="55"/>
      <c r="D250" s="49"/>
      <c r="E250" s="52"/>
      <c r="F250" s="65" t="s">
        <v>366</v>
      </c>
      <c r="G250" s="39">
        <v>97100</v>
      </c>
      <c r="H250" s="39">
        <v>108500</v>
      </c>
      <c r="I250" s="39">
        <v>200000</v>
      </c>
      <c r="J250" s="39">
        <v>204529.52</v>
      </c>
      <c r="K250" s="39">
        <v>205130.12</v>
      </c>
      <c r="L250" s="39">
        <v>98229.04</v>
      </c>
      <c r="M250" s="12">
        <f t="shared" si="88"/>
        <v>4529.5199999999895</v>
      </c>
      <c r="N250" s="12">
        <f t="shared" si="78"/>
        <v>107429.51999999999</v>
      </c>
      <c r="O250" s="13">
        <f t="shared" si="79"/>
        <v>600.60000000000582</v>
      </c>
      <c r="P250" s="13">
        <f t="shared" si="80"/>
        <v>108030.12</v>
      </c>
      <c r="Q250" s="71" t="s">
        <v>367</v>
      </c>
      <c r="R250" s="14"/>
      <c r="S250" s="15"/>
      <c r="T250" s="16" t="e">
        <f>#REF!-#REF!</f>
        <v>#REF!</v>
      </c>
      <c r="W250" s="44"/>
      <c r="X250" s="44"/>
      <c r="AA250" s="19"/>
    </row>
    <row r="251" spans="1:28" s="43" customFormat="1" ht="18" customHeight="1" x14ac:dyDescent="0.2">
      <c r="A251" s="53" t="s">
        <v>16</v>
      </c>
      <c r="B251" s="54"/>
      <c r="C251" s="55"/>
      <c r="D251" s="49"/>
      <c r="E251" s="52"/>
      <c r="F251" s="65" t="s">
        <v>368</v>
      </c>
      <c r="G251" s="39">
        <v>800</v>
      </c>
      <c r="H251" s="39">
        <f>G251</f>
        <v>800</v>
      </c>
      <c r="I251" s="39">
        <f t="shared" si="97"/>
        <v>800</v>
      </c>
      <c r="J251" s="39">
        <f t="shared" si="97"/>
        <v>800</v>
      </c>
      <c r="K251" s="39">
        <v>921.1</v>
      </c>
      <c r="L251" s="39">
        <v>738.1</v>
      </c>
      <c r="M251" s="12">
        <f t="shared" si="88"/>
        <v>0</v>
      </c>
      <c r="N251" s="12">
        <f t="shared" si="78"/>
        <v>0</v>
      </c>
      <c r="O251" s="13">
        <f t="shared" si="79"/>
        <v>121.10000000000002</v>
      </c>
      <c r="P251" s="13">
        <f t="shared" si="80"/>
        <v>121.10000000000002</v>
      </c>
      <c r="Q251" s="45" t="s">
        <v>369</v>
      </c>
      <c r="R251" s="14"/>
      <c r="S251" s="15"/>
      <c r="T251" s="16" t="e">
        <f>#REF!-#REF!</f>
        <v>#REF!</v>
      </c>
      <c r="W251" s="44"/>
      <c r="X251" s="44"/>
      <c r="AA251" s="19"/>
    </row>
    <row r="252" spans="1:28" s="43" customFormat="1" ht="18" customHeight="1" x14ac:dyDescent="0.2">
      <c r="A252" s="53"/>
      <c r="B252" s="54"/>
      <c r="C252" s="55"/>
      <c r="D252" s="49"/>
      <c r="E252" s="52"/>
      <c r="F252" s="65" t="s">
        <v>370</v>
      </c>
      <c r="G252" s="39">
        <v>29700</v>
      </c>
      <c r="H252" s="39">
        <v>28032</v>
      </c>
      <c r="I252" s="39">
        <v>29200</v>
      </c>
      <c r="J252" s="39">
        <v>35190</v>
      </c>
      <c r="K252" s="39">
        <v>35190</v>
      </c>
      <c r="L252" s="39">
        <v>29696</v>
      </c>
      <c r="M252" s="12">
        <f t="shared" si="88"/>
        <v>5990</v>
      </c>
      <c r="N252" s="12">
        <f t="shared" si="78"/>
        <v>5490</v>
      </c>
      <c r="O252" s="13">
        <f t="shared" si="79"/>
        <v>0</v>
      </c>
      <c r="P252" s="13">
        <f t="shared" si="80"/>
        <v>5490</v>
      </c>
      <c r="Q252" s="14"/>
      <c r="R252" s="14"/>
      <c r="S252" s="15"/>
      <c r="T252" s="16" t="e">
        <f>#REF!-#REF!</f>
        <v>#REF!</v>
      </c>
      <c r="W252" s="44"/>
      <c r="X252" s="44"/>
      <c r="AA252" s="19"/>
    </row>
    <row r="253" spans="1:28" s="43" customFormat="1" ht="18" hidden="1" customHeight="1" x14ac:dyDescent="0.2">
      <c r="A253" s="53"/>
      <c r="B253" s="54"/>
      <c r="C253" s="55"/>
      <c r="D253" s="49"/>
      <c r="E253" s="52"/>
      <c r="F253" s="65" t="s">
        <v>371</v>
      </c>
      <c r="G253" s="102"/>
      <c r="H253" s="102"/>
      <c r="I253" s="74">
        <f t="shared" si="97"/>
        <v>0</v>
      </c>
      <c r="J253" s="74"/>
      <c r="K253" s="74"/>
      <c r="L253" s="102"/>
      <c r="M253" s="12">
        <f t="shared" si="88"/>
        <v>0</v>
      </c>
      <c r="N253" s="12">
        <f t="shared" si="78"/>
        <v>0</v>
      </c>
      <c r="O253" s="13">
        <f t="shared" si="79"/>
        <v>0</v>
      </c>
      <c r="P253" s="13">
        <f t="shared" si="80"/>
        <v>0</v>
      </c>
      <c r="Q253" s="14"/>
      <c r="R253" s="14"/>
      <c r="S253" s="15"/>
      <c r="T253" s="16" t="e">
        <f>#REF!-#REF!</f>
        <v>#REF!</v>
      </c>
      <c r="W253" s="44"/>
      <c r="X253" s="44"/>
      <c r="AA253" s="19"/>
    </row>
    <row r="254" spans="1:28" s="43" customFormat="1" ht="18" customHeight="1" x14ac:dyDescent="0.2">
      <c r="A254" s="53"/>
      <c r="B254" s="54"/>
      <c r="C254" s="55"/>
      <c r="D254" s="49"/>
      <c r="E254" s="52"/>
      <c r="F254" s="65" t="s">
        <v>372</v>
      </c>
      <c r="G254" s="74">
        <v>0</v>
      </c>
      <c r="H254" s="74">
        <v>0</v>
      </c>
      <c r="I254" s="74">
        <f t="shared" si="97"/>
        <v>0</v>
      </c>
      <c r="J254" s="74"/>
      <c r="K254" s="39">
        <v>0</v>
      </c>
      <c r="L254" s="39">
        <v>1419.64</v>
      </c>
      <c r="M254" s="12">
        <f t="shared" si="88"/>
        <v>0</v>
      </c>
      <c r="N254" s="12">
        <f t="shared" si="78"/>
        <v>0</v>
      </c>
      <c r="O254" s="13">
        <f t="shared" si="79"/>
        <v>0</v>
      </c>
      <c r="P254" s="13">
        <f t="shared" si="80"/>
        <v>0</v>
      </c>
      <c r="Q254" s="14"/>
      <c r="R254" s="45" t="s">
        <v>373</v>
      </c>
      <c r="S254" s="15"/>
      <c r="T254" s="16" t="e">
        <f>#REF!-#REF!</f>
        <v>#REF!</v>
      </c>
      <c r="W254" s="44"/>
      <c r="X254" s="44"/>
      <c r="AA254" s="19"/>
    </row>
    <row r="255" spans="1:28" s="17" customFormat="1" ht="18" customHeight="1" x14ac:dyDescent="0.2">
      <c r="A255" s="20" t="s">
        <v>16</v>
      </c>
      <c r="B255" s="21"/>
      <c r="C255" s="63" t="s">
        <v>374</v>
      </c>
      <c r="D255" s="63"/>
      <c r="E255" s="66"/>
      <c r="F255" s="22"/>
      <c r="G255" s="11">
        <f t="shared" ref="G255:N255" si="99">G256</f>
        <v>375300</v>
      </c>
      <c r="H255" s="11">
        <f t="shared" si="99"/>
        <v>383900</v>
      </c>
      <c r="I255" s="11">
        <f t="shared" si="99"/>
        <v>385200</v>
      </c>
      <c r="J255" s="11">
        <f t="shared" si="99"/>
        <v>385700</v>
      </c>
      <c r="K255" s="11">
        <f t="shared" si="99"/>
        <v>385046.81</v>
      </c>
      <c r="L255" s="11">
        <f>L256</f>
        <v>371868.67999999982</v>
      </c>
      <c r="M255" s="11">
        <f t="shared" si="99"/>
        <v>500</v>
      </c>
      <c r="N255" s="11">
        <f t="shared" si="99"/>
        <v>10400</v>
      </c>
      <c r="O255" s="13">
        <f t="shared" si="79"/>
        <v>-653.19000000000233</v>
      </c>
      <c r="P255" s="13">
        <f t="shared" si="80"/>
        <v>9746.8099999999977</v>
      </c>
      <c r="Q255" s="79" t="s">
        <v>375</v>
      </c>
      <c r="R255" s="79" t="s">
        <v>376</v>
      </c>
      <c r="S255" s="60"/>
      <c r="T255" s="69" t="e">
        <f>#REF!-#REF!</f>
        <v>#REF!</v>
      </c>
      <c r="U255" s="70" t="e">
        <f>#REF!-#REF!</f>
        <v>#REF!</v>
      </c>
      <c r="W255" s="18"/>
      <c r="X255" s="18"/>
      <c r="AA255" s="70"/>
      <c r="AB255" s="69"/>
    </row>
    <row r="256" spans="1:28" s="17" customFormat="1" ht="18" customHeight="1" x14ac:dyDescent="0.2">
      <c r="A256" s="20" t="s">
        <v>16</v>
      </c>
      <c r="B256" s="48"/>
      <c r="C256" s="49"/>
      <c r="D256" s="49" t="s">
        <v>377</v>
      </c>
      <c r="E256" s="57"/>
      <c r="F256" s="58"/>
      <c r="G256" s="28">
        <f t="shared" ref="G256:N256" si="100">G257+G264</f>
        <v>375300</v>
      </c>
      <c r="H256" s="28">
        <f t="shared" si="100"/>
        <v>383900</v>
      </c>
      <c r="I256" s="28">
        <f t="shared" si="100"/>
        <v>385200</v>
      </c>
      <c r="J256" s="28">
        <f t="shared" si="100"/>
        <v>385700</v>
      </c>
      <c r="K256" s="28">
        <f t="shared" si="100"/>
        <v>385046.81</v>
      </c>
      <c r="L256" s="28">
        <f>L257+L264</f>
        <v>371868.67999999982</v>
      </c>
      <c r="M256" s="28">
        <f t="shared" si="100"/>
        <v>500</v>
      </c>
      <c r="N256" s="28">
        <f t="shared" si="100"/>
        <v>10400</v>
      </c>
      <c r="O256" s="13">
        <f t="shared" si="79"/>
        <v>-653.19000000000233</v>
      </c>
      <c r="P256" s="13">
        <f t="shared" si="80"/>
        <v>9746.8099999999977</v>
      </c>
      <c r="Q256" s="79" t="s">
        <v>378</v>
      </c>
      <c r="R256" s="79" t="s">
        <v>379</v>
      </c>
      <c r="S256" s="60"/>
      <c r="T256" s="69" t="e">
        <f>#REF!-#REF!</f>
        <v>#REF!</v>
      </c>
      <c r="U256" s="70" t="e">
        <f>#REF!-#REF!</f>
        <v>#REF!</v>
      </c>
      <c r="W256" s="18"/>
      <c r="X256" s="18"/>
      <c r="AA256" s="70"/>
      <c r="AB256" s="69"/>
    </row>
    <row r="257" spans="1:27" s="33" customFormat="1" ht="18" customHeight="1" x14ac:dyDescent="0.2">
      <c r="A257" s="50" t="s">
        <v>16</v>
      </c>
      <c r="B257" s="51"/>
      <c r="C257" s="52"/>
      <c r="D257" s="57"/>
      <c r="E257" s="52" t="s">
        <v>380</v>
      </c>
      <c r="F257" s="59"/>
      <c r="G257" s="15">
        <f t="shared" ref="G257:N257" si="101">G263</f>
        <v>9600</v>
      </c>
      <c r="H257" s="15">
        <f t="shared" si="101"/>
        <v>12300</v>
      </c>
      <c r="I257" s="15">
        <f t="shared" si="101"/>
        <v>12300</v>
      </c>
      <c r="J257" s="15">
        <f t="shared" si="101"/>
        <v>12300</v>
      </c>
      <c r="K257" s="15">
        <f t="shared" si="101"/>
        <v>12299.88</v>
      </c>
      <c r="L257" s="15">
        <f>L263</f>
        <v>7643.55</v>
      </c>
      <c r="M257" s="15">
        <f t="shared" si="101"/>
        <v>0</v>
      </c>
      <c r="N257" s="15">
        <f t="shared" si="101"/>
        <v>2700</v>
      </c>
      <c r="O257" s="13">
        <f t="shared" si="79"/>
        <v>-0.12000000000080036</v>
      </c>
      <c r="P257" s="13">
        <f t="shared" si="80"/>
        <v>2699.8799999999992</v>
      </c>
      <c r="Q257" s="14"/>
      <c r="R257" s="14"/>
      <c r="S257" s="15"/>
      <c r="T257" s="16" t="e">
        <f>#REF!-#REF!</f>
        <v>#REF!</v>
      </c>
      <c r="U257" s="19" t="e">
        <f>U256-U255</f>
        <v>#REF!</v>
      </c>
      <c r="W257" s="34"/>
      <c r="X257" s="34"/>
      <c r="AA257" s="19"/>
    </row>
    <row r="258" spans="1:27" s="43" customFormat="1" ht="18" hidden="1" customHeight="1" x14ac:dyDescent="0.2">
      <c r="A258" s="53" t="s">
        <v>16</v>
      </c>
      <c r="B258" s="54"/>
      <c r="C258" s="55"/>
      <c r="D258" s="49"/>
      <c r="E258" s="52"/>
      <c r="F258" s="65" t="s">
        <v>381</v>
      </c>
      <c r="G258" s="60"/>
      <c r="H258" s="60"/>
      <c r="I258" s="60"/>
      <c r="J258" s="60"/>
      <c r="K258" s="60"/>
      <c r="L258" s="60"/>
      <c r="M258" s="12">
        <f t="shared" ref="M258:M305" si="102">J258-I258</f>
        <v>0</v>
      </c>
      <c r="N258" s="12">
        <f t="shared" ref="N258:N305" si="103">J258-G258</f>
        <v>0</v>
      </c>
      <c r="O258" s="13">
        <f t="shared" ref="O258:O324" si="104">K258-J258</f>
        <v>0</v>
      </c>
      <c r="P258" s="13">
        <f t="shared" ref="P258:P324" si="105">K258-G258</f>
        <v>0</v>
      </c>
      <c r="Q258" s="14"/>
      <c r="R258" s="14"/>
      <c r="S258" s="15"/>
      <c r="T258" s="16" t="e">
        <f>#REF!-#REF!</f>
        <v>#REF!</v>
      </c>
      <c r="W258" s="44"/>
      <c r="X258" s="44"/>
      <c r="AA258" s="19"/>
    </row>
    <row r="259" spans="1:27" s="43" customFormat="1" ht="18" hidden="1" customHeight="1" x14ac:dyDescent="0.2">
      <c r="A259" s="53" t="s">
        <v>16</v>
      </c>
      <c r="B259" s="54"/>
      <c r="C259" s="55"/>
      <c r="D259" s="49"/>
      <c r="E259" s="52"/>
      <c r="F259" s="65" t="s">
        <v>382</v>
      </c>
      <c r="G259" s="60"/>
      <c r="H259" s="60"/>
      <c r="I259" s="60"/>
      <c r="J259" s="60"/>
      <c r="K259" s="60"/>
      <c r="L259" s="60"/>
      <c r="M259" s="12">
        <f t="shared" si="102"/>
        <v>0</v>
      </c>
      <c r="N259" s="12">
        <f t="shared" si="103"/>
        <v>0</v>
      </c>
      <c r="O259" s="13">
        <f t="shared" si="104"/>
        <v>0</v>
      </c>
      <c r="P259" s="13">
        <f t="shared" si="105"/>
        <v>0</v>
      </c>
      <c r="Q259" s="14"/>
      <c r="R259" s="14"/>
      <c r="S259" s="15"/>
      <c r="T259" s="16" t="e">
        <f>#REF!-#REF!</f>
        <v>#REF!</v>
      </c>
      <c r="W259" s="44"/>
      <c r="X259" s="44"/>
      <c r="AA259" s="19"/>
    </row>
    <row r="260" spans="1:27" s="43" customFormat="1" ht="18" hidden="1" customHeight="1" x14ac:dyDescent="0.2">
      <c r="A260" s="53" t="s">
        <v>16</v>
      </c>
      <c r="B260" s="54"/>
      <c r="C260" s="55"/>
      <c r="D260" s="49"/>
      <c r="E260" s="52"/>
      <c r="F260" s="65" t="s">
        <v>383</v>
      </c>
      <c r="G260" s="60"/>
      <c r="H260" s="60"/>
      <c r="I260" s="60"/>
      <c r="J260" s="60"/>
      <c r="K260" s="60"/>
      <c r="L260" s="60"/>
      <c r="M260" s="12">
        <f t="shared" si="102"/>
        <v>0</v>
      </c>
      <c r="N260" s="12">
        <f t="shared" si="103"/>
        <v>0</v>
      </c>
      <c r="O260" s="13">
        <f t="shared" si="104"/>
        <v>0</v>
      </c>
      <c r="P260" s="13">
        <f t="shared" si="105"/>
        <v>0</v>
      </c>
      <c r="Q260" s="14"/>
      <c r="R260" s="14"/>
      <c r="S260" s="15"/>
      <c r="T260" s="16" t="e">
        <f>#REF!-#REF!</f>
        <v>#REF!</v>
      </c>
      <c r="W260" s="44"/>
      <c r="X260" s="44"/>
      <c r="AA260" s="19"/>
    </row>
    <row r="261" spans="1:27" s="43" customFormat="1" ht="18" hidden="1" customHeight="1" x14ac:dyDescent="0.2">
      <c r="A261" s="53" t="s">
        <v>16</v>
      </c>
      <c r="B261" s="54"/>
      <c r="C261" s="55"/>
      <c r="D261" s="49"/>
      <c r="E261" s="52"/>
      <c r="F261" s="65" t="s">
        <v>384</v>
      </c>
      <c r="G261" s="60"/>
      <c r="H261" s="60"/>
      <c r="I261" s="60"/>
      <c r="J261" s="60"/>
      <c r="K261" s="60"/>
      <c r="L261" s="60"/>
      <c r="M261" s="12">
        <f t="shared" si="102"/>
        <v>0</v>
      </c>
      <c r="N261" s="12">
        <f t="shared" si="103"/>
        <v>0</v>
      </c>
      <c r="O261" s="13">
        <f t="shared" si="104"/>
        <v>0</v>
      </c>
      <c r="P261" s="13">
        <f t="shared" si="105"/>
        <v>0</v>
      </c>
      <c r="Q261" s="14"/>
      <c r="R261" s="14"/>
      <c r="S261" s="15"/>
      <c r="T261" s="16" t="e">
        <f>#REF!-#REF!</f>
        <v>#REF!</v>
      </c>
      <c r="W261" s="44"/>
      <c r="X261" s="44"/>
      <c r="AA261" s="19"/>
    </row>
    <row r="262" spans="1:27" s="43" customFormat="1" ht="18" hidden="1" customHeight="1" x14ac:dyDescent="0.2">
      <c r="A262" s="53" t="s">
        <v>16</v>
      </c>
      <c r="B262" s="54"/>
      <c r="C262" s="55"/>
      <c r="D262" s="49"/>
      <c r="E262" s="52"/>
      <c r="F262" s="65" t="s">
        <v>385</v>
      </c>
      <c r="G262" s="60"/>
      <c r="H262" s="60"/>
      <c r="I262" s="60"/>
      <c r="J262" s="60"/>
      <c r="K262" s="60"/>
      <c r="L262" s="60"/>
      <c r="M262" s="12">
        <f t="shared" si="102"/>
        <v>0</v>
      </c>
      <c r="N262" s="12">
        <f t="shared" si="103"/>
        <v>0</v>
      </c>
      <c r="O262" s="13">
        <f t="shared" si="104"/>
        <v>0</v>
      </c>
      <c r="P262" s="13">
        <f t="shared" si="105"/>
        <v>0</v>
      </c>
      <c r="Q262" s="14"/>
      <c r="R262" s="14"/>
      <c r="S262" s="15"/>
      <c r="T262" s="16" t="e">
        <f>#REF!-#REF!</f>
        <v>#REF!</v>
      </c>
      <c r="W262" s="44"/>
      <c r="X262" s="44"/>
      <c r="AA262" s="19"/>
    </row>
    <row r="263" spans="1:27" s="43" customFormat="1" ht="18" customHeight="1" x14ac:dyDescent="0.2">
      <c r="A263" s="53" t="s">
        <v>16</v>
      </c>
      <c r="B263" s="54"/>
      <c r="C263" s="55"/>
      <c r="D263" s="49"/>
      <c r="E263" s="52"/>
      <c r="F263" s="65" t="s">
        <v>386</v>
      </c>
      <c r="G263" s="39">
        <v>9600</v>
      </c>
      <c r="H263" s="39">
        <v>12300</v>
      </c>
      <c r="I263" s="39">
        <v>12300</v>
      </c>
      <c r="J263" s="39">
        <v>12300</v>
      </c>
      <c r="K263" s="39">
        <v>12299.88</v>
      </c>
      <c r="L263" s="39">
        <v>7643.55</v>
      </c>
      <c r="M263" s="12">
        <f t="shared" si="102"/>
        <v>0</v>
      </c>
      <c r="N263" s="12">
        <f t="shared" si="103"/>
        <v>2700</v>
      </c>
      <c r="O263" s="13">
        <f t="shared" si="104"/>
        <v>-0.12000000000080036</v>
      </c>
      <c r="P263" s="13">
        <f t="shared" si="105"/>
        <v>2699.8799999999992</v>
      </c>
      <c r="Q263" s="14"/>
      <c r="R263" s="14"/>
      <c r="S263" s="15"/>
      <c r="T263" s="16" t="e">
        <f>#REF!-#REF!</f>
        <v>#REF!</v>
      </c>
      <c r="W263" s="44"/>
      <c r="X263" s="44"/>
      <c r="AA263" s="19"/>
    </row>
    <row r="264" spans="1:27" s="33" customFormat="1" ht="18" customHeight="1" x14ac:dyDescent="0.2">
      <c r="A264" s="50" t="s">
        <v>16</v>
      </c>
      <c r="B264" s="51"/>
      <c r="C264" s="52"/>
      <c r="D264" s="57"/>
      <c r="E264" s="52" t="s">
        <v>387</v>
      </c>
      <c r="F264" s="59"/>
      <c r="G264" s="15">
        <f t="shared" ref="G264:K264" si="106">SUM(G265:G284)</f>
        <v>365700</v>
      </c>
      <c r="H264" s="15">
        <f t="shared" si="106"/>
        <v>371600</v>
      </c>
      <c r="I264" s="15">
        <f t="shared" si="106"/>
        <v>372900</v>
      </c>
      <c r="J264" s="15">
        <f t="shared" si="106"/>
        <v>373400</v>
      </c>
      <c r="K264" s="15">
        <f t="shared" si="106"/>
        <v>372746.93</v>
      </c>
      <c r="L264" s="15">
        <f>SUM(L265:L284)</f>
        <v>364225.12999999983</v>
      </c>
      <c r="M264" s="12">
        <f t="shared" si="102"/>
        <v>500</v>
      </c>
      <c r="N264" s="12">
        <f t="shared" si="103"/>
        <v>7700</v>
      </c>
      <c r="O264" s="13">
        <f t="shared" si="104"/>
        <v>-653.07000000000698</v>
      </c>
      <c r="P264" s="13">
        <f t="shared" si="105"/>
        <v>7046.929999999993</v>
      </c>
      <c r="Q264" s="14"/>
      <c r="R264" s="14"/>
      <c r="S264" s="15"/>
      <c r="T264" s="16" t="e">
        <f>#REF!-#REF!</f>
        <v>#REF!</v>
      </c>
      <c r="W264" s="34"/>
      <c r="X264" s="34"/>
      <c r="AA264" s="19"/>
    </row>
    <row r="265" spans="1:27" s="43" customFormat="1" ht="18" customHeight="1" x14ac:dyDescent="0.2">
      <c r="A265" s="53" t="s">
        <v>16</v>
      </c>
      <c r="B265" s="54"/>
      <c r="C265" s="55"/>
      <c r="D265" s="49"/>
      <c r="E265" s="52"/>
      <c r="F265" s="65" t="s">
        <v>388</v>
      </c>
      <c r="G265" s="39">
        <v>230900</v>
      </c>
      <c r="H265" s="39">
        <v>230900</v>
      </c>
      <c r="I265" s="39">
        <v>230900</v>
      </c>
      <c r="J265" s="39">
        <v>230900</v>
      </c>
      <c r="K265" s="39">
        <v>230815.24</v>
      </c>
      <c r="L265" s="39">
        <v>230815.24</v>
      </c>
      <c r="M265" s="12">
        <f t="shared" si="102"/>
        <v>0</v>
      </c>
      <c r="N265" s="12">
        <f t="shared" si="103"/>
        <v>0</v>
      </c>
      <c r="O265" s="13">
        <f t="shared" si="104"/>
        <v>-84.760000000009313</v>
      </c>
      <c r="P265" s="13">
        <f t="shared" si="105"/>
        <v>-84.760000000009313</v>
      </c>
      <c r="Q265" s="14"/>
      <c r="R265" s="14"/>
      <c r="S265" s="15"/>
      <c r="T265" s="16" t="e">
        <f>#REF!-#REF!</f>
        <v>#REF!</v>
      </c>
      <c r="W265" s="44"/>
      <c r="X265" s="44"/>
      <c r="AA265" s="19"/>
    </row>
    <row r="266" spans="1:27" s="43" customFormat="1" ht="18" hidden="1" customHeight="1" x14ac:dyDescent="0.2">
      <c r="A266" s="53" t="s">
        <v>16</v>
      </c>
      <c r="B266" s="54"/>
      <c r="C266" s="55"/>
      <c r="D266" s="49"/>
      <c r="E266" s="52"/>
      <c r="F266" s="65" t="s">
        <v>389</v>
      </c>
      <c r="G266" s="39"/>
      <c r="H266" s="39"/>
      <c r="I266" s="39"/>
      <c r="J266" s="39"/>
      <c r="K266" s="39"/>
      <c r="L266" s="39"/>
      <c r="M266" s="12">
        <f t="shared" si="102"/>
        <v>0</v>
      </c>
      <c r="N266" s="12">
        <f t="shared" si="103"/>
        <v>0</v>
      </c>
      <c r="O266" s="13">
        <f t="shared" si="104"/>
        <v>0</v>
      </c>
      <c r="P266" s="13">
        <f t="shared" si="105"/>
        <v>0</v>
      </c>
      <c r="Q266" s="14"/>
      <c r="R266" s="14"/>
      <c r="S266" s="15"/>
      <c r="T266" s="16" t="e">
        <f>#REF!-#REF!</f>
        <v>#REF!</v>
      </c>
      <c r="W266" s="44"/>
      <c r="X266" s="44"/>
      <c r="AA266" s="19"/>
    </row>
    <row r="267" spans="1:27" s="43" customFormat="1" ht="18" customHeight="1" x14ac:dyDescent="0.2">
      <c r="A267" s="53" t="s">
        <v>16</v>
      </c>
      <c r="B267" s="54"/>
      <c r="C267" s="55"/>
      <c r="D267" s="49"/>
      <c r="E267" s="52"/>
      <c r="F267" s="65" t="s">
        <v>390</v>
      </c>
      <c r="G267" s="39">
        <v>11900</v>
      </c>
      <c r="H267" s="39">
        <v>11900</v>
      </c>
      <c r="I267" s="39">
        <v>11900</v>
      </c>
      <c r="J267" s="39">
        <v>11900</v>
      </c>
      <c r="K267" s="39">
        <v>11845.38</v>
      </c>
      <c r="L267" s="39">
        <v>12741.17</v>
      </c>
      <c r="M267" s="12">
        <f t="shared" si="102"/>
        <v>0</v>
      </c>
      <c r="N267" s="12">
        <f t="shared" si="103"/>
        <v>0</v>
      </c>
      <c r="O267" s="13">
        <f t="shared" si="104"/>
        <v>-54.6200000000008</v>
      </c>
      <c r="P267" s="13">
        <f t="shared" si="105"/>
        <v>-54.6200000000008</v>
      </c>
      <c r="Q267" s="14"/>
      <c r="R267" s="14"/>
      <c r="S267" s="15"/>
      <c r="T267" s="16" t="e">
        <f>#REF!-#REF!</f>
        <v>#REF!</v>
      </c>
      <c r="W267" s="44"/>
      <c r="X267" s="44"/>
      <c r="AA267" s="19"/>
    </row>
    <row r="268" spans="1:27" s="43" customFormat="1" ht="18" customHeight="1" x14ac:dyDescent="0.2">
      <c r="A268" s="53" t="s">
        <v>16</v>
      </c>
      <c r="B268" s="54"/>
      <c r="C268" s="55"/>
      <c r="D268" s="49"/>
      <c r="E268" s="52"/>
      <c r="F268" s="65" t="s">
        <v>391</v>
      </c>
      <c r="G268" s="39">
        <v>30200</v>
      </c>
      <c r="H268" s="39">
        <v>30400</v>
      </c>
      <c r="I268" s="39">
        <v>30400</v>
      </c>
      <c r="J268" s="39">
        <v>30500</v>
      </c>
      <c r="K268" s="39">
        <v>30436.02</v>
      </c>
      <c r="L268" s="39">
        <v>29489.3</v>
      </c>
      <c r="M268" s="12">
        <f t="shared" si="102"/>
        <v>100</v>
      </c>
      <c r="N268" s="12">
        <f t="shared" si="103"/>
        <v>300</v>
      </c>
      <c r="O268" s="13">
        <f t="shared" si="104"/>
        <v>-63.979999999999563</v>
      </c>
      <c r="P268" s="13">
        <f t="shared" si="105"/>
        <v>236.02000000000044</v>
      </c>
      <c r="Q268" s="14"/>
      <c r="R268" s="79" t="s">
        <v>392</v>
      </c>
      <c r="S268" s="15"/>
      <c r="T268" s="16" t="e">
        <f>#REF!-#REF!</f>
        <v>#REF!</v>
      </c>
      <c r="W268" s="44"/>
      <c r="X268" s="44"/>
      <c r="AA268" s="19"/>
    </row>
    <row r="269" spans="1:27" s="43" customFormat="1" ht="18" hidden="1" customHeight="1" x14ac:dyDescent="0.2">
      <c r="A269" s="53" t="s">
        <v>16</v>
      </c>
      <c r="B269" s="54"/>
      <c r="C269" s="55"/>
      <c r="D269" s="49"/>
      <c r="E269" s="52"/>
      <c r="F269" s="65" t="s">
        <v>393</v>
      </c>
      <c r="G269" s="39"/>
      <c r="H269" s="39"/>
      <c r="I269" s="39"/>
      <c r="J269" s="39"/>
      <c r="K269" s="39"/>
      <c r="L269" s="39"/>
      <c r="M269" s="12">
        <f t="shared" si="102"/>
        <v>0</v>
      </c>
      <c r="N269" s="12">
        <f t="shared" si="103"/>
        <v>0</v>
      </c>
      <c r="O269" s="13">
        <f t="shared" si="104"/>
        <v>0</v>
      </c>
      <c r="P269" s="13">
        <f t="shared" si="105"/>
        <v>0</v>
      </c>
      <c r="Q269" s="14"/>
      <c r="R269" s="14"/>
      <c r="S269" s="15"/>
      <c r="T269" s="16" t="e">
        <f>#REF!-#REF!</f>
        <v>#REF!</v>
      </c>
      <c r="W269" s="44"/>
      <c r="X269" s="44"/>
      <c r="AA269" s="19"/>
    </row>
    <row r="270" spans="1:27" s="43" customFormat="1" ht="18" customHeight="1" x14ac:dyDescent="0.2">
      <c r="A270" s="53" t="s">
        <v>16</v>
      </c>
      <c r="B270" s="54"/>
      <c r="C270" s="55"/>
      <c r="D270" s="49"/>
      <c r="E270" s="52"/>
      <c r="F270" s="65" t="s">
        <v>394</v>
      </c>
      <c r="G270" s="39">
        <v>8300</v>
      </c>
      <c r="H270" s="39">
        <v>10300</v>
      </c>
      <c r="I270" s="39">
        <v>10300</v>
      </c>
      <c r="J270" s="39">
        <v>10300</v>
      </c>
      <c r="K270" s="39">
        <v>10243.959999999999</v>
      </c>
      <c r="L270" s="39">
        <v>9564.6200000000008</v>
      </c>
      <c r="M270" s="12">
        <f t="shared" si="102"/>
        <v>0</v>
      </c>
      <c r="N270" s="12">
        <f t="shared" si="103"/>
        <v>2000</v>
      </c>
      <c r="O270" s="13">
        <f t="shared" si="104"/>
        <v>-56.040000000000873</v>
      </c>
      <c r="P270" s="13">
        <f t="shared" si="105"/>
        <v>1943.9599999999991</v>
      </c>
      <c r="Q270" s="14"/>
      <c r="R270" s="14"/>
      <c r="S270" s="15"/>
      <c r="T270" s="16" t="e">
        <f>#REF!-#REF!</f>
        <v>#REF!</v>
      </c>
      <c r="W270" s="44"/>
      <c r="X270" s="44"/>
      <c r="AA270" s="19"/>
    </row>
    <row r="271" spans="1:27" s="43" customFormat="1" ht="18" customHeight="1" x14ac:dyDescent="0.2">
      <c r="A271" s="53" t="s">
        <v>16</v>
      </c>
      <c r="B271" s="54"/>
      <c r="C271" s="55"/>
      <c r="D271" s="49"/>
      <c r="E271" s="52"/>
      <c r="F271" s="65" t="s">
        <v>395</v>
      </c>
      <c r="G271" s="39">
        <v>20500</v>
      </c>
      <c r="H271" s="39">
        <v>15300</v>
      </c>
      <c r="I271" s="39">
        <v>15300</v>
      </c>
      <c r="J271" s="39">
        <v>15500</v>
      </c>
      <c r="K271" s="39">
        <v>15450.25</v>
      </c>
      <c r="L271" s="39">
        <v>13365.1</v>
      </c>
      <c r="M271" s="12">
        <f t="shared" si="102"/>
        <v>200</v>
      </c>
      <c r="N271" s="12">
        <f t="shared" si="103"/>
        <v>-5000</v>
      </c>
      <c r="O271" s="13">
        <f t="shared" si="104"/>
        <v>-49.75</v>
      </c>
      <c r="P271" s="13">
        <f t="shared" si="105"/>
        <v>-5049.75</v>
      </c>
      <c r="Q271" s="14"/>
      <c r="R271" s="79" t="s">
        <v>396</v>
      </c>
      <c r="S271" s="15"/>
      <c r="T271" s="16" t="e">
        <f>#REF!-#REF!</f>
        <v>#REF!</v>
      </c>
      <c r="W271" s="44"/>
      <c r="X271" s="44"/>
      <c r="AA271" s="19"/>
    </row>
    <row r="272" spans="1:27" s="43" customFormat="1" ht="18" customHeight="1" x14ac:dyDescent="0.2">
      <c r="A272" s="53" t="s">
        <v>16</v>
      </c>
      <c r="B272" s="54"/>
      <c r="C272" s="55"/>
      <c r="D272" s="49"/>
      <c r="E272" s="52"/>
      <c r="F272" s="65" t="s">
        <v>397</v>
      </c>
      <c r="G272" s="39">
        <v>5900</v>
      </c>
      <c r="H272" s="39">
        <v>6900</v>
      </c>
      <c r="I272" s="39">
        <v>6900</v>
      </c>
      <c r="J272" s="39">
        <v>7000</v>
      </c>
      <c r="K272" s="39">
        <v>7000.69</v>
      </c>
      <c r="L272" s="39">
        <v>6317.35</v>
      </c>
      <c r="M272" s="12">
        <f t="shared" si="102"/>
        <v>100</v>
      </c>
      <c r="N272" s="12">
        <f t="shared" si="103"/>
        <v>1100</v>
      </c>
      <c r="O272" s="13">
        <f t="shared" si="104"/>
        <v>0.68999999999959982</v>
      </c>
      <c r="P272" s="13">
        <f t="shared" si="105"/>
        <v>1100.6899999999996</v>
      </c>
      <c r="Q272" s="14"/>
      <c r="R272" s="14"/>
      <c r="S272" s="15"/>
      <c r="T272" s="16" t="e">
        <f>#REF!-#REF!</f>
        <v>#REF!</v>
      </c>
      <c r="W272" s="44"/>
      <c r="X272" s="44"/>
      <c r="AA272" s="19"/>
    </row>
    <row r="273" spans="1:27" s="43" customFormat="1" ht="18" customHeight="1" x14ac:dyDescent="0.2">
      <c r="A273" s="53" t="s">
        <v>16</v>
      </c>
      <c r="B273" s="54"/>
      <c r="C273" s="55"/>
      <c r="D273" s="49"/>
      <c r="E273" s="52"/>
      <c r="F273" s="65" t="s">
        <v>398</v>
      </c>
      <c r="G273" s="39">
        <v>8800</v>
      </c>
      <c r="H273" s="39">
        <v>9600</v>
      </c>
      <c r="I273" s="39">
        <v>9700</v>
      </c>
      <c r="J273" s="39">
        <v>9700</v>
      </c>
      <c r="K273" s="39">
        <v>9703.16</v>
      </c>
      <c r="L273" s="39">
        <v>9604.92</v>
      </c>
      <c r="M273" s="12">
        <f t="shared" si="102"/>
        <v>0</v>
      </c>
      <c r="N273" s="12">
        <f t="shared" si="103"/>
        <v>900</v>
      </c>
      <c r="O273" s="13">
        <f t="shared" si="104"/>
        <v>3.1599999999998545</v>
      </c>
      <c r="P273" s="13">
        <f t="shared" si="105"/>
        <v>903.15999999999985</v>
      </c>
      <c r="Q273" s="14"/>
      <c r="R273" s="79" t="s">
        <v>399</v>
      </c>
      <c r="S273" s="15"/>
      <c r="T273" s="16" t="e">
        <f>#REF!-#REF!</f>
        <v>#REF!</v>
      </c>
      <c r="W273" s="44"/>
      <c r="X273" s="44"/>
      <c r="AA273" s="19"/>
    </row>
    <row r="274" spans="1:27" s="43" customFormat="1" ht="18" customHeight="1" x14ac:dyDescent="0.2">
      <c r="A274" s="53" t="s">
        <v>16</v>
      </c>
      <c r="B274" s="54"/>
      <c r="C274" s="55"/>
      <c r="D274" s="49"/>
      <c r="E274" s="52"/>
      <c r="F274" s="65" t="s">
        <v>400</v>
      </c>
      <c r="G274" s="39">
        <v>5400</v>
      </c>
      <c r="H274" s="39">
        <v>5800</v>
      </c>
      <c r="I274" s="39">
        <v>5800</v>
      </c>
      <c r="J274" s="39">
        <v>5800</v>
      </c>
      <c r="K274" s="39">
        <v>5718.87</v>
      </c>
      <c r="L274" s="39">
        <v>5352.72</v>
      </c>
      <c r="M274" s="12">
        <f t="shared" si="102"/>
        <v>0</v>
      </c>
      <c r="N274" s="12">
        <f t="shared" si="103"/>
        <v>400</v>
      </c>
      <c r="O274" s="13">
        <f t="shared" si="104"/>
        <v>-81.130000000000109</v>
      </c>
      <c r="P274" s="13">
        <f t="shared" si="105"/>
        <v>318.86999999999989</v>
      </c>
      <c r="Q274" s="14"/>
      <c r="R274" s="14"/>
      <c r="S274" s="15"/>
      <c r="T274" s="16" t="e">
        <f>#REF!-#REF!</f>
        <v>#REF!</v>
      </c>
      <c r="W274" s="44"/>
      <c r="X274" s="44"/>
      <c r="AA274" s="19"/>
    </row>
    <row r="275" spans="1:27" s="43" customFormat="1" ht="18" customHeight="1" x14ac:dyDescent="0.2">
      <c r="A275" s="53" t="s">
        <v>16</v>
      </c>
      <c r="B275" s="54"/>
      <c r="C275" s="55"/>
      <c r="D275" s="49"/>
      <c r="E275" s="52"/>
      <c r="F275" s="65" t="s">
        <v>401</v>
      </c>
      <c r="G275" s="39">
        <v>1600</v>
      </c>
      <c r="H275" s="39">
        <v>1800</v>
      </c>
      <c r="I275" s="39">
        <v>1800</v>
      </c>
      <c r="J275" s="39">
        <v>1800</v>
      </c>
      <c r="K275" s="39">
        <v>1793.84</v>
      </c>
      <c r="L275" s="39">
        <v>1541.63</v>
      </c>
      <c r="M275" s="12">
        <f t="shared" si="102"/>
        <v>0</v>
      </c>
      <c r="N275" s="12">
        <f t="shared" si="103"/>
        <v>200</v>
      </c>
      <c r="O275" s="13">
        <f t="shared" si="104"/>
        <v>-6.1600000000000819</v>
      </c>
      <c r="P275" s="13">
        <f t="shared" si="105"/>
        <v>193.83999999999992</v>
      </c>
      <c r="Q275" s="14"/>
      <c r="R275" s="14"/>
      <c r="S275" s="15"/>
      <c r="T275" s="16" t="e">
        <f>#REF!-#REF!</f>
        <v>#REF!</v>
      </c>
      <c r="W275" s="44"/>
      <c r="X275" s="44"/>
      <c r="AA275" s="19"/>
    </row>
    <row r="276" spans="1:27" s="43" customFormat="1" ht="18" customHeight="1" x14ac:dyDescent="0.2">
      <c r="A276" s="53" t="s">
        <v>16</v>
      </c>
      <c r="B276" s="54"/>
      <c r="C276" s="55"/>
      <c r="D276" s="49"/>
      <c r="E276" s="52"/>
      <c r="F276" s="65" t="s">
        <v>402</v>
      </c>
      <c r="G276" s="39">
        <v>18500</v>
      </c>
      <c r="H276" s="39">
        <v>20900</v>
      </c>
      <c r="I276" s="39">
        <v>21100</v>
      </c>
      <c r="J276" s="39">
        <v>21200</v>
      </c>
      <c r="K276" s="39">
        <v>21162.240000000002</v>
      </c>
      <c r="L276" s="39">
        <v>17448.97</v>
      </c>
      <c r="M276" s="12">
        <f t="shared" si="102"/>
        <v>100</v>
      </c>
      <c r="N276" s="12">
        <f t="shared" si="103"/>
        <v>2700</v>
      </c>
      <c r="O276" s="13">
        <f t="shared" si="104"/>
        <v>-37.759999999998399</v>
      </c>
      <c r="P276" s="13">
        <f t="shared" si="105"/>
        <v>2662.2400000000016</v>
      </c>
      <c r="Q276" s="14"/>
      <c r="R276" s="79" t="s">
        <v>403</v>
      </c>
      <c r="S276" s="15"/>
      <c r="T276" s="16" t="e">
        <f>#REF!-#REF!</f>
        <v>#REF!</v>
      </c>
      <c r="W276" s="44"/>
      <c r="X276" s="44"/>
      <c r="AA276" s="19"/>
    </row>
    <row r="277" spans="1:27" s="43" customFormat="1" ht="18" hidden="1" customHeight="1" x14ac:dyDescent="0.2">
      <c r="A277" s="53" t="s">
        <v>16</v>
      </c>
      <c r="B277" s="54"/>
      <c r="C277" s="55"/>
      <c r="D277" s="49"/>
      <c r="E277" s="52"/>
      <c r="F277" s="65" t="s">
        <v>404</v>
      </c>
      <c r="G277" s="39"/>
      <c r="H277" s="39"/>
      <c r="I277" s="39"/>
      <c r="J277" s="39"/>
      <c r="K277" s="39"/>
      <c r="L277" s="39"/>
      <c r="M277" s="12">
        <f t="shared" si="102"/>
        <v>0</v>
      </c>
      <c r="N277" s="12">
        <f t="shared" si="103"/>
        <v>0</v>
      </c>
      <c r="O277" s="13">
        <f t="shared" si="104"/>
        <v>0</v>
      </c>
      <c r="P277" s="13">
        <f t="shared" si="105"/>
        <v>0</v>
      </c>
      <c r="Q277" s="14"/>
      <c r="R277" s="14"/>
      <c r="S277" s="15"/>
      <c r="T277" s="16" t="e">
        <f>#REF!-#REF!</f>
        <v>#REF!</v>
      </c>
      <c r="W277" s="44"/>
      <c r="X277" s="44"/>
      <c r="AA277" s="19"/>
    </row>
    <row r="278" spans="1:27" s="43" customFormat="1" ht="18" hidden="1" customHeight="1" x14ac:dyDescent="0.2">
      <c r="A278" s="53" t="s">
        <v>16</v>
      </c>
      <c r="B278" s="54"/>
      <c r="C278" s="55"/>
      <c r="D278" s="49"/>
      <c r="E278" s="52"/>
      <c r="F278" s="65" t="s">
        <v>405</v>
      </c>
      <c r="G278" s="39"/>
      <c r="H278" s="39"/>
      <c r="I278" s="39"/>
      <c r="J278" s="39"/>
      <c r="K278" s="39"/>
      <c r="L278" s="39"/>
      <c r="M278" s="12">
        <f t="shared" si="102"/>
        <v>0</v>
      </c>
      <c r="N278" s="12">
        <f t="shared" si="103"/>
        <v>0</v>
      </c>
      <c r="O278" s="13">
        <f t="shared" si="104"/>
        <v>0</v>
      </c>
      <c r="P278" s="13">
        <f t="shared" si="105"/>
        <v>0</v>
      </c>
      <c r="Q278" s="14"/>
      <c r="R278" s="14"/>
      <c r="S278" s="15"/>
      <c r="T278" s="16" t="e">
        <f>#REF!-#REF!</f>
        <v>#REF!</v>
      </c>
      <c r="W278" s="44"/>
      <c r="X278" s="44"/>
      <c r="AA278" s="19"/>
    </row>
    <row r="279" spans="1:27" s="43" customFormat="1" ht="18" customHeight="1" x14ac:dyDescent="0.2">
      <c r="A279" s="53" t="s">
        <v>16</v>
      </c>
      <c r="B279" s="54"/>
      <c r="C279" s="55"/>
      <c r="D279" s="49"/>
      <c r="E279" s="52"/>
      <c r="F279" s="65" t="s">
        <v>406</v>
      </c>
      <c r="G279" s="39">
        <v>100</v>
      </c>
      <c r="H279" s="39">
        <v>100</v>
      </c>
      <c r="I279" s="39">
        <v>100</v>
      </c>
      <c r="J279" s="39">
        <v>100</v>
      </c>
      <c r="K279" s="39">
        <v>52.29</v>
      </c>
      <c r="L279" s="39">
        <v>52.29</v>
      </c>
      <c r="M279" s="12">
        <f t="shared" si="102"/>
        <v>0</v>
      </c>
      <c r="N279" s="12">
        <f t="shared" si="103"/>
        <v>0</v>
      </c>
      <c r="O279" s="13">
        <f t="shared" si="104"/>
        <v>-47.71</v>
      </c>
      <c r="P279" s="13">
        <f t="shared" si="105"/>
        <v>-47.71</v>
      </c>
      <c r="Q279" s="14"/>
      <c r="R279" s="14"/>
      <c r="S279" s="15"/>
      <c r="T279" s="16" t="e">
        <f>#REF!-#REF!</f>
        <v>#REF!</v>
      </c>
      <c r="W279" s="44"/>
      <c r="X279" s="44"/>
      <c r="AA279" s="19"/>
    </row>
    <row r="280" spans="1:27" s="43" customFormat="1" ht="18" customHeight="1" x14ac:dyDescent="0.2">
      <c r="A280" s="53" t="s">
        <v>16</v>
      </c>
      <c r="B280" s="54"/>
      <c r="C280" s="55"/>
      <c r="D280" s="49"/>
      <c r="E280" s="52"/>
      <c r="F280" s="65" t="s">
        <v>407</v>
      </c>
      <c r="G280" s="39">
        <v>15900</v>
      </c>
      <c r="H280" s="39">
        <v>18700</v>
      </c>
      <c r="I280" s="39">
        <v>19100</v>
      </c>
      <c r="J280" s="39">
        <v>19100</v>
      </c>
      <c r="K280" s="39">
        <v>19039.509999999998</v>
      </c>
      <c r="L280" s="39">
        <v>19696.599999999999</v>
      </c>
      <c r="M280" s="12">
        <f t="shared" si="102"/>
        <v>0</v>
      </c>
      <c r="N280" s="12">
        <f t="shared" si="103"/>
        <v>3200</v>
      </c>
      <c r="O280" s="13">
        <f t="shared" si="104"/>
        <v>-60.490000000001601</v>
      </c>
      <c r="P280" s="13">
        <f t="shared" si="105"/>
        <v>3139.5099999999984</v>
      </c>
      <c r="Q280" s="14"/>
      <c r="R280" s="14"/>
      <c r="S280" s="15"/>
      <c r="T280" s="16" t="e">
        <f>#REF!-#REF!</f>
        <v>#REF!</v>
      </c>
      <c r="W280" s="44"/>
      <c r="X280" s="44"/>
      <c r="AA280" s="19"/>
    </row>
    <row r="281" spans="1:27" s="43" customFormat="1" ht="18" customHeight="1" x14ac:dyDescent="0.2">
      <c r="A281" s="53" t="s">
        <v>16</v>
      </c>
      <c r="B281" s="54"/>
      <c r="C281" s="55"/>
      <c r="D281" s="49"/>
      <c r="E281" s="52"/>
      <c r="F281" s="65" t="s">
        <v>408</v>
      </c>
      <c r="G281" s="39">
        <v>7400</v>
      </c>
      <c r="H281" s="39">
        <v>8700</v>
      </c>
      <c r="I281" s="39">
        <v>9300</v>
      </c>
      <c r="J281" s="39">
        <v>9300</v>
      </c>
      <c r="K281" s="39">
        <v>9246.1299999999992</v>
      </c>
      <c r="L281" s="39">
        <v>8073.3</v>
      </c>
      <c r="M281" s="12">
        <f t="shared" si="102"/>
        <v>0</v>
      </c>
      <c r="N281" s="12">
        <f t="shared" si="103"/>
        <v>1900</v>
      </c>
      <c r="O281" s="13">
        <f t="shared" si="104"/>
        <v>-53.8700000000008</v>
      </c>
      <c r="P281" s="13">
        <f t="shared" si="105"/>
        <v>1846.1299999999992</v>
      </c>
      <c r="Q281" s="14"/>
      <c r="R281" s="14"/>
      <c r="S281" s="15"/>
      <c r="T281" s="16" t="e">
        <f>#REF!-#REF!</f>
        <v>#REF!</v>
      </c>
      <c r="W281" s="44"/>
      <c r="X281" s="44"/>
      <c r="AA281" s="19"/>
    </row>
    <row r="282" spans="1:27" s="43" customFormat="1" ht="18" hidden="1" customHeight="1" x14ac:dyDescent="0.2">
      <c r="A282" s="53" t="s">
        <v>16</v>
      </c>
      <c r="B282" s="54"/>
      <c r="C282" s="55"/>
      <c r="D282" s="49"/>
      <c r="E282" s="52"/>
      <c r="F282" s="65" t="s">
        <v>409</v>
      </c>
      <c r="G282" s="39"/>
      <c r="H282" s="39"/>
      <c r="I282" s="39"/>
      <c r="J282" s="39"/>
      <c r="K282" s="39"/>
      <c r="L282" s="39"/>
      <c r="M282" s="12">
        <f t="shared" si="102"/>
        <v>0</v>
      </c>
      <c r="N282" s="12">
        <f t="shared" si="103"/>
        <v>0</v>
      </c>
      <c r="O282" s="13">
        <f t="shared" si="104"/>
        <v>0</v>
      </c>
      <c r="P282" s="13">
        <f t="shared" si="105"/>
        <v>0</v>
      </c>
      <c r="Q282" s="14"/>
      <c r="R282" s="14"/>
      <c r="S282" s="15"/>
      <c r="T282" s="16" t="e">
        <f>#REF!-#REF!</f>
        <v>#REF!</v>
      </c>
      <c r="W282" s="44"/>
      <c r="X282" s="44"/>
      <c r="AA282" s="19"/>
    </row>
    <row r="283" spans="1:27" s="43" customFormat="1" ht="18" customHeight="1" x14ac:dyDescent="0.2">
      <c r="A283" s="53" t="s">
        <v>16</v>
      </c>
      <c r="B283" s="54"/>
      <c r="C283" s="55"/>
      <c r="D283" s="49"/>
      <c r="E283" s="52"/>
      <c r="F283" s="65" t="s">
        <v>410</v>
      </c>
      <c r="G283" s="39">
        <v>200</v>
      </c>
      <c r="H283" s="39">
        <v>200</v>
      </c>
      <c r="I283" s="39">
        <v>200</v>
      </c>
      <c r="J283" s="39">
        <v>200</v>
      </c>
      <c r="K283" s="39">
        <v>155.47</v>
      </c>
      <c r="L283" s="39">
        <v>78.040000000000006</v>
      </c>
      <c r="M283" s="12">
        <f t="shared" si="102"/>
        <v>0</v>
      </c>
      <c r="N283" s="12">
        <f t="shared" si="103"/>
        <v>0</v>
      </c>
      <c r="O283" s="13">
        <f t="shared" si="104"/>
        <v>-44.53</v>
      </c>
      <c r="P283" s="13">
        <f t="shared" si="105"/>
        <v>-44.53</v>
      </c>
      <c r="Q283" s="14"/>
      <c r="R283" s="14"/>
      <c r="S283" s="15"/>
      <c r="T283" s="16" t="e">
        <f>#REF!-#REF!</f>
        <v>#REF!</v>
      </c>
      <c r="W283" s="44"/>
      <c r="X283" s="44"/>
      <c r="AA283" s="19"/>
    </row>
    <row r="284" spans="1:27" s="43" customFormat="1" ht="18" customHeight="1" x14ac:dyDescent="0.2">
      <c r="A284" s="53" t="s">
        <v>16</v>
      </c>
      <c r="B284" s="54"/>
      <c r="C284" s="55"/>
      <c r="D284" s="49"/>
      <c r="E284" s="52"/>
      <c r="F284" s="65" t="s">
        <v>411</v>
      </c>
      <c r="G284" s="39">
        <v>100</v>
      </c>
      <c r="H284" s="39">
        <v>100</v>
      </c>
      <c r="I284" s="39">
        <v>100</v>
      </c>
      <c r="J284" s="39">
        <v>100</v>
      </c>
      <c r="K284" s="39">
        <v>83.88</v>
      </c>
      <c r="L284" s="39">
        <v>83.88</v>
      </c>
      <c r="M284" s="12">
        <f t="shared" si="102"/>
        <v>0</v>
      </c>
      <c r="N284" s="12">
        <f t="shared" si="103"/>
        <v>0</v>
      </c>
      <c r="O284" s="13">
        <f t="shared" si="104"/>
        <v>-16.120000000000005</v>
      </c>
      <c r="P284" s="13">
        <f t="shared" si="105"/>
        <v>-16.120000000000005</v>
      </c>
      <c r="Q284" s="14"/>
      <c r="R284" s="14"/>
      <c r="S284" s="15"/>
      <c r="T284" s="16" t="e">
        <f>#REF!-#REF!</f>
        <v>#REF!</v>
      </c>
      <c r="W284" s="44"/>
      <c r="X284" s="44"/>
      <c r="AA284" s="19"/>
    </row>
    <row r="285" spans="1:27" s="17" customFormat="1" ht="18" customHeight="1" x14ac:dyDescent="0.2">
      <c r="A285" s="20" t="s">
        <v>16</v>
      </c>
      <c r="B285" s="21"/>
      <c r="C285" s="63" t="s">
        <v>412</v>
      </c>
      <c r="D285" s="63"/>
      <c r="E285" s="66"/>
      <c r="F285" s="22"/>
      <c r="G285" s="11">
        <f t="shared" ref="G285:J285" si="107">G286+G289+G296</f>
        <v>519400</v>
      </c>
      <c r="H285" s="11">
        <f t="shared" si="107"/>
        <v>519401</v>
      </c>
      <c r="I285" s="11">
        <f t="shared" si="107"/>
        <v>519402</v>
      </c>
      <c r="J285" s="11">
        <f t="shared" si="107"/>
        <v>795259.08000000007</v>
      </c>
      <c r="K285" s="11">
        <f>K286+K289+K296</f>
        <v>1321823.2</v>
      </c>
      <c r="L285" s="11">
        <f>L286+L289+L296</f>
        <v>1159321.8999999999</v>
      </c>
      <c r="M285" s="12">
        <f t="shared" si="102"/>
        <v>275857.08000000007</v>
      </c>
      <c r="N285" s="12">
        <f t="shared" si="103"/>
        <v>275859.08000000007</v>
      </c>
      <c r="O285" s="13">
        <f t="shared" si="104"/>
        <v>526564.11999999988</v>
      </c>
      <c r="P285" s="13">
        <f t="shared" si="105"/>
        <v>802423.2</v>
      </c>
      <c r="Q285" s="14"/>
      <c r="R285" s="14"/>
      <c r="S285" s="15"/>
      <c r="T285" s="16" t="e">
        <f>#REF!-#REF!</f>
        <v>#REF!</v>
      </c>
      <c r="W285" s="18"/>
      <c r="X285" s="18"/>
      <c r="AA285" s="19"/>
    </row>
    <row r="286" spans="1:27" s="17" customFormat="1" ht="18" customHeight="1" x14ac:dyDescent="0.2">
      <c r="A286" s="20" t="s">
        <v>16</v>
      </c>
      <c r="B286" s="48"/>
      <c r="C286" s="49"/>
      <c r="D286" s="49" t="s">
        <v>413</v>
      </c>
      <c r="E286" s="57"/>
      <c r="F286" s="58"/>
      <c r="G286" s="28">
        <f t="shared" ref="G286:K287" si="108">G287</f>
        <v>0</v>
      </c>
      <c r="H286" s="28">
        <f t="shared" si="108"/>
        <v>1</v>
      </c>
      <c r="I286" s="28">
        <f t="shared" si="108"/>
        <v>2</v>
      </c>
      <c r="J286" s="28">
        <f t="shared" si="108"/>
        <v>0</v>
      </c>
      <c r="K286" s="28">
        <f t="shared" si="108"/>
        <v>8460.8799999999992</v>
      </c>
      <c r="L286" s="28">
        <f>L287</f>
        <v>11692.17</v>
      </c>
      <c r="M286" s="12">
        <f t="shared" si="102"/>
        <v>-2</v>
      </c>
      <c r="N286" s="12">
        <f t="shared" si="103"/>
        <v>0</v>
      </c>
      <c r="O286" s="13">
        <f t="shared" si="104"/>
        <v>8460.8799999999992</v>
      </c>
      <c r="P286" s="13">
        <f t="shared" si="105"/>
        <v>8460.8799999999992</v>
      </c>
      <c r="Q286" s="14"/>
      <c r="R286" s="14"/>
      <c r="S286" s="15"/>
      <c r="T286" s="16" t="e">
        <f>#REF!-#REF!</f>
        <v>#REF!</v>
      </c>
      <c r="W286" s="18"/>
      <c r="X286" s="18"/>
      <c r="AA286" s="19"/>
    </row>
    <row r="287" spans="1:27" s="17" customFormat="1" ht="18" customHeight="1" x14ac:dyDescent="0.2">
      <c r="A287" s="20" t="s">
        <v>16</v>
      </c>
      <c r="B287" s="48"/>
      <c r="C287" s="49"/>
      <c r="D287" s="49"/>
      <c r="E287" s="52" t="s">
        <v>413</v>
      </c>
      <c r="F287" s="103"/>
      <c r="G287" s="15">
        <f t="shared" si="108"/>
        <v>0</v>
      </c>
      <c r="H287" s="15">
        <f t="shared" si="108"/>
        <v>1</v>
      </c>
      <c r="I287" s="15">
        <f t="shared" si="108"/>
        <v>2</v>
      </c>
      <c r="J287" s="15">
        <f t="shared" si="108"/>
        <v>0</v>
      </c>
      <c r="K287" s="15">
        <f t="shared" si="108"/>
        <v>8460.8799999999992</v>
      </c>
      <c r="L287" s="15">
        <f>L288</f>
        <v>11692.17</v>
      </c>
      <c r="M287" s="12">
        <f t="shared" si="102"/>
        <v>-2</v>
      </c>
      <c r="N287" s="12">
        <f t="shared" si="103"/>
        <v>0</v>
      </c>
      <c r="O287" s="13">
        <f t="shared" si="104"/>
        <v>8460.8799999999992</v>
      </c>
      <c r="P287" s="13">
        <f t="shared" si="105"/>
        <v>8460.8799999999992</v>
      </c>
      <c r="Q287" s="14"/>
      <c r="R287" s="14"/>
      <c r="S287" s="15"/>
      <c r="T287" s="16" t="e">
        <f>#REF!-#REF!</f>
        <v>#REF!</v>
      </c>
      <c r="W287" s="18"/>
      <c r="X287" s="18"/>
      <c r="AA287" s="19"/>
    </row>
    <row r="288" spans="1:27" s="17" customFormat="1" ht="18" customHeight="1" x14ac:dyDescent="0.2">
      <c r="A288" s="20" t="s">
        <v>16</v>
      </c>
      <c r="B288" s="48"/>
      <c r="C288" s="49"/>
      <c r="D288" s="49"/>
      <c r="E288" s="57"/>
      <c r="F288" s="65" t="s">
        <v>413</v>
      </c>
      <c r="G288" s="39">
        <v>0</v>
      </c>
      <c r="H288" s="39">
        <v>1</v>
      </c>
      <c r="I288" s="39">
        <v>2</v>
      </c>
      <c r="J288" s="39">
        <v>0</v>
      </c>
      <c r="K288" s="39">
        <v>8460.8799999999992</v>
      </c>
      <c r="L288" s="39">
        <v>11692.17</v>
      </c>
      <c r="M288" s="12">
        <f t="shared" si="102"/>
        <v>-2</v>
      </c>
      <c r="N288" s="12">
        <f t="shared" si="103"/>
        <v>0</v>
      </c>
      <c r="O288" s="13">
        <f t="shared" si="104"/>
        <v>8460.8799999999992</v>
      </c>
      <c r="P288" s="13">
        <f t="shared" si="105"/>
        <v>8460.8799999999992</v>
      </c>
      <c r="Q288" s="45" t="s">
        <v>414</v>
      </c>
      <c r="R288" s="14"/>
      <c r="S288" s="15"/>
      <c r="T288" s="16" t="e">
        <f>#REF!-#REF!</f>
        <v>#REF!</v>
      </c>
      <c r="W288" s="18"/>
      <c r="X288" s="18"/>
      <c r="AA288" s="19"/>
    </row>
    <row r="289" spans="1:27" s="17" customFormat="1" ht="18" customHeight="1" x14ac:dyDescent="0.2">
      <c r="A289" s="20" t="s">
        <v>16</v>
      </c>
      <c r="B289" s="48"/>
      <c r="C289" s="49"/>
      <c r="D289" s="49" t="s">
        <v>415</v>
      </c>
      <c r="E289" s="57"/>
      <c r="F289" s="58"/>
      <c r="G289" s="28">
        <f t="shared" ref="G289:K289" si="109">G290</f>
        <v>0</v>
      </c>
      <c r="H289" s="28">
        <f t="shared" si="109"/>
        <v>0</v>
      </c>
      <c r="I289" s="28">
        <f t="shared" si="109"/>
        <v>0</v>
      </c>
      <c r="J289" s="28">
        <f t="shared" si="109"/>
        <v>100000</v>
      </c>
      <c r="K289" s="28">
        <f t="shared" si="109"/>
        <v>315700.01</v>
      </c>
      <c r="L289" s="28">
        <f>L290</f>
        <v>24551.32</v>
      </c>
      <c r="M289" s="12">
        <f t="shared" si="102"/>
        <v>100000</v>
      </c>
      <c r="N289" s="12">
        <f t="shared" si="103"/>
        <v>100000</v>
      </c>
      <c r="O289" s="13">
        <f t="shared" si="104"/>
        <v>215700.01</v>
      </c>
      <c r="P289" s="13">
        <f t="shared" si="105"/>
        <v>315700.01</v>
      </c>
      <c r="Q289" s="14"/>
      <c r="R289" s="14"/>
      <c r="S289" s="15"/>
      <c r="T289" s="16" t="e">
        <f>#REF!-#REF!</f>
        <v>#REF!</v>
      </c>
      <c r="W289" s="18"/>
      <c r="X289" s="18"/>
      <c r="AA289" s="19"/>
    </row>
    <row r="290" spans="1:27" s="17" customFormat="1" ht="18" customHeight="1" x14ac:dyDescent="0.2">
      <c r="A290" s="20" t="s">
        <v>16</v>
      </c>
      <c r="B290" s="48"/>
      <c r="C290" s="49"/>
      <c r="D290" s="49"/>
      <c r="E290" s="52" t="s">
        <v>415</v>
      </c>
      <c r="F290" s="103"/>
      <c r="G290" s="15">
        <f t="shared" ref="G290:I290" si="110">SUM(G291:G295)</f>
        <v>0</v>
      </c>
      <c r="H290" s="15">
        <f t="shared" si="110"/>
        <v>0</v>
      </c>
      <c r="I290" s="15">
        <f t="shared" si="110"/>
        <v>0</v>
      </c>
      <c r="J290" s="15">
        <f>SUM(J291:J295)</f>
        <v>100000</v>
      </c>
      <c r="K290" s="15">
        <f>SUM(K291:K295)</f>
        <v>315700.01</v>
      </c>
      <c r="L290" s="15">
        <f>SUM(L291:L295)</f>
        <v>24551.32</v>
      </c>
      <c r="M290" s="12">
        <f t="shared" si="102"/>
        <v>100000</v>
      </c>
      <c r="N290" s="12">
        <f t="shared" si="103"/>
        <v>100000</v>
      </c>
      <c r="O290" s="13">
        <f t="shared" si="104"/>
        <v>215700.01</v>
      </c>
      <c r="P290" s="13">
        <f t="shared" si="105"/>
        <v>315700.01</v>
      </c>
      <c r="Q290" s="14"/>
      <c r="R290" s="14"/>
      <c r="S290" s="15"/>
      <c r="T290" s="16" t="e">
        <f>#REF!-#REF!</f>
        <v>#REF!</v>
      </c>
      <c r="W290" s="18"/>
      <c r="X290" s="18"/>
      <c r="AA290" s="19"/>
    </row>
    <row r="291" spans="1:27" s="43" customFormat="1" ht="18" customHeight="1" x14ac:dyDescent="0.2">
      <c r="A291" s="53" t="s">
        <v>16</v>
      </c>
      <c r="B291" s="54"/>
      <c r="C291" s="55"/>
      <c r="D291" s="55"/>
      <c r="E291" s="55"/>
      <c r="F291" s="65" t="s">
        <v>416</v>
      </c>
      <c r="G291" s="39"/>
      <c r="H291" s="39"/>
      <c r="I291" s="39"/>
      <c r="J291" s="39">
        <v>0</v>
      </c>
      <c r="K291" s="39">
        <v>79237.740000000005</v>
      </c>
      <c r="L291" s="60">
        <v>0</v>
      </c>
      <c r="M291" s="12">
        <f t="shared" si="102"/>
        <v>0</v>
      </c>
      <c r="N291" s="12">
        <f t="shared" si="103"/>
        <v>0</v>
      </c>
      <c r="O291" s="13">
        <f t="shared" si="104"/>
        <v>79237.740000000005</v>
      </c>
      <c r="P291" s="13">
        <f t="shared" si="105"/>
        <v>79237.740000000005</v>
      </c>
      <c r="Q291" s="45" t="s">
        <v>417</v>
      </c>
      <c r="R291" s="45"/>
      <c r="S291" s="60"/>
      <c r="T291" s="69" t="e">
        <f>#REF!-#REF!</f>
        <v>#REF!</v>
      </c>
      <c r="W291" s="44"/>
      <c r="X291" s="44"/>
      <c r="AA291" s="70"/>
    </row>
    <row r="292" spans="1:27" s="43" customFormat="1" ht="18" customHeight="1" x14ac:dyDescent="0.2">
      <c r="A292" s="53" t="s">
        <v>16</v>
      </c>
      <c r="B292" s="54"/>
      <c r="C292" s="55"/>
      <c r="D292" s="55"/>
      <c r="E292" s="55"/>
      <c r="F292" s="65" t="s">
        <v>418</v>
      </c>
      <c r="G292" s="39">
        <v>0</v>
      </c>
      <c r="H292" s="39">
        <v>0</v>
      </c>
      <c r="I292" s="39">
        <v>0</v>
      </c>
      <c r="J292" s="39">
        <v>100000</v>
      </c>
      <c r="K292" s="39">
        <v>214116.9</v>
      </c>
      <c r="L292" s="39">
        <v>24551.32</v>
      </c>
      <c r="M292" s="12">
        <f t="shared" si="102"/>
        <v>100000</v>
      </c>
      <c r="N292" s="12">
        <f t="shared" si="103"/>
        <v>100000</v>
      </c>
      <c r="O292" s="13">
        <f t="shared" si="104"/>
        <v>114116.9</v>
      </c>
      <c r="P292" s="13">
        <f t="shared" si="105"/>
        <v>214116.9</v>
      </c>
      <c r="Q292" s="45" t="s">
        <v>419</v>
      </c>
      <c r="R292" s="45"/>
      <c r="S292" s="60"/>
      <c r="T292" s="69" t="e">
        <f>#REF!-#REF!</f>
        <v>#REF!</v>
      </c>
      <c r="W292" s="44"/>
      <c r="X292" s="44"/>
      <c r="AA292" s="70"/>
    </row>
    <row r="293" spans="1:27" s="43" customFormat="1" ht="18" hidden="1" customHeight="1" x14ac:dyDescent="0.2">
      <c r="A293" s="53" t="s">
        <v>16</v>
      </c>
      <c r="B293" s="54"/>
      <c r="C293" s="55"/>
      <c r="D293" s="55"/>
      <c r="E293" s="55"/>
      <c r="F293" s="65" t="s">
        <v>420</v>
      </c>
      <c r="G293" s="60"/>
      <c r="H293" s="60"/>
      <c r="I293" s="60"/>
      <c r="J293" s="60"/>
      <c r="K293" s="60"/>
      <c r="L293" s="60"/>
      <c r="M293" s="12">
        <f t="shared" si="102"/>
        <v>0</v>
      </c>
      <c r="N293" s="12">
        <f t="shared" si="103"/>
        <v>0</v>
      </c>
      <c r="O293" s="13">
        <f t="shared" si="104"/>
        <v>0</v>
      </c>
      <c r="P293" s="13">
        <f t="shared" si="105"/>
        <v>0</v>
      </c>
      <c r="Q293" s="14"/>
      <c r="R293" s="45"/>
      <c r="S293" s="60"/>
      <c r="T293" s="69" t="e">
        <f>#REF!-#REF!</f>
        <v>#REF!</v>
      </c>
      <c r="W293" s="44"/>
      <c r="X293" s="44"/>
      <c r="AA293" s="70"/>
    </row>
    <row r="294" spans="1:27" s="43" customFormat="1" ht="18" hidden="1" customHeight="1" x14ac:dyDescent="0.2">
      <c r="A294" s="53"/>
      <c r="B294" s="54"/>
      <c r="C294" s="55"/>
      <c r="D294" s="55"/>
      <c r="E294" s="55"/>
      <c r="F294" s="65" t="s">
        <v>421</v>
      </c>
      <c r="G294" s="60"/>
      <c r="H294" s="60"/>
      <c r="I294" s="60"/>
      <c r="J294" s="60"/>
      <c r="K294" s="60"/>
      <c r="L294" s="60"/>
      <c r="M294" s="12">
        <f t="shared" si="102"/>
        <v>0</v>
      </c>
      <c r="N294" s="12">
        <f t="shared" si="103"/>
        <v>0</v>
      </c>
      <c r="O294" s="13">
        <f t="shared" si="104"/>
        <v>0</v>
      </c>
      <c r="P294" s="13">
        <f t="shared" si="105"/>
        <v>0</v>
      </c>
      <c r="Q294" s="14"/>
      <c r="R294" s="45"/>
      <c r="S294" s="60"/>
      <c r="T294" s="69" t="e">
        <f>#REF!-#REF!</f>
        <v>#REF!</v>
      </c>
      <c r="W294" s="44"/>
      <c r="X294" s="44"/>
      <c r="AA294" s="70"/>
    </row>
    <row r="295" spans="1:27" s="43" customFormat="1" ht="18" customHeight="1" x14ac:dyDescent="0.2">
      <c r="A295" s="53"/>
      <c r="B295" s="54"/>
      <c r="C295" s="55"/>
      <c r="D295" s="55"/>
      <c r="E295" s="55"/>
      <c r="F295" s="65" t="s">
        <v>422</v>
      </c>
      <c r="G295" s="39">
        <v>0</v>
      </c>
      <c r="H295" s="39"/>
      <c r="I295" s="39"/>
      <c r="J295" s="39">
        <v>0</v>
      </c>
      <c r="K295" s="39">
        <v>22345.37</v>
      </c>
      <c r="L295" s="60">
        <v>0</v>
      </c>
      <c r="M295" s="12">
        <f t="shared" si="102"/>
        <v>0</v>
      </c>
      <c r="N295" s="12">
        <f t="shared" si="103"/>
        <v>0</v>
      </c>
      <c r="O295" s="13">
        <f t="shared" si="104"/>
        <v>22345.37</v>
      </c>
      <c r="P295" s="13">
        <f t="shared" si="105"/>
        <v>22345.37</v>
      </c>
      <c r="Q295" s="45" t="s">
        <v>423</v>
      </c>
      <c r="R295" s="45"/>
      <c r="S295" s="60"/>
      <c r="T295" s="69" t="e">
        <f>#REF!-#REF!</f>
        <v>#REF!</v>
      </c>
      <c r="W295" s="44"/>
      <c r="X295" s="44"/>
      <c r="AA295" s="70"/>
    </row>
    <row r="296" spans="1:27" s="17" customFormat="1" ht="18" customHeight="1" x14ac:dyDescent="0.2">
      <c r="A296" s="20" t="s">
        <v>16</v>
      </c>
      <c r="B296" s="48"/>
      <c r="C296" s="49"/>
      <c r="D296" s="49" t="s">
        <v>424</v>
      </c>
      <c r="E296" s="57"/>
      <c r="F296" s="58"/>
      <c r="G296" s="28">
        <f>G297+G303</f>
        <v>519400</v>
      </c>
      <c r="H296" s="28">
        <f t="shared" ref="H296:K296" si="111">H297+H303</f>
        <v>519400</v>
      </c>
      <c r="I296" s="28">
        <f t="shared" si="111"/>
        <v>519400</v>
      </c>
      <c r="J296" s="28">
        <f t="shared" si="111"/>
        <v>695259.08000000007</v>
      </c>
      <c r="K296" s="28">
        <f t="shared" si="111"/>
        <v>997662.30999999994</v>
      </c>
      <c r="L296" s="28">
        <f t="shared" ref="L296" si="112">L297</f>
        <v>1123078.4099999999</v>
      </c>
      <c r="M296" s="12">
        <f t="shared" si="102"/>
        <v>175859.08000000007</v>
      </c>
      <c r="N296" s="12">
        <f t="shared" si="103"/>
        <v>175859.08000000007</v>
      </c>
      <c r="O296" s="13">
        <f t="shared" si="104"/>
        <v>302403.22999999986</v>
      </c>
      <c r="P296" s="13">
        <f t="shared" si="105"/>
        <v>478262.30999999994</v>
      </c>
      <c r="Q296" s="14"/>
      <c r="R296" s="14"/>
      <c r="S296" s="15"/>
      <c r="T296" s="16" t="e">
        <f>#REF!-#REF!</f>
        <v>#REF!</v>
      </c>
      <c r="W296" s="18"/>
      <c r="X296" s="18"/>
      <c r="AA296" s="19"/>
    </row>
    <row r="297" spans="1:27" s="33" customFormat="1" ht="18" customHeight="1" x14ac:dyDescent="0.2">
      <c r="A297" s="50" t="s">
        <v>16</v>
      </c>
      <c r="B297" s="51"/>
      <c r="C297" s="52"/>
      <c r="D297" s="57"/>
      <c r="E297" s="52" t="s">
        <v>424</v>
      </c>
      <c r="F297" s="59"/>
      <c r="G297" s="15">
        <f t="shared" ref="G297:K297" si="113">SUM(G299:G302)</f>
        <v>519400</v>
      </c>
      <c r="H297" s="15">
        <f t="shared" si="113"/>
        <v>519400</v>
      </c>
      <c r="I297" s="15">
        <f t="shared" si="113"/>
        <v>519400</v>
      </c>
      <c r="J297" s="15">
        <f t="shared" si="113"/>
        <v>695259.08000000007</v>
      </c>
      <c r="K297" s="15">
        <f t="shared" si="113"/>
        <v>997662.30999999994</v>
      </c>
      <c r="L297" s="15">
        <f>SUM(L299:L302)</f>
        <v>1123078.4099999999</v>
      </c>
      <c r="M297" s="12">
        <f t="shared" si="102"/>
        <v>175859.08000000007</v>
      </c>
      <c r="N297" s="12">
        <f t="shared" si="103"/>
        <v>175859.08000000007</v>
      </c>
      <c r="O297" s="13">
        <f t="shared" si="104"/>
        <v>302403.22999999986</v>
      </c>
      <c r="P297" s="13">
        <f t="shared" si="105"/>
        <v>478262.30999999994</v>
      </c>
      <c r="Q297" s="14"/>
      <c r="R297" s="14"/>
      <c r="S297" s="15"/>
      <c r="T297" s="16" t="e">
        <f>#REF!-#REF!</f>
        <v>#REF!</v>
      </c>
      <c r="W297" s="34"/>
      <c r="X297" s="34"/>
      <c r="AA297" s="19"/>
    </row>
    <row r="298" spans="1:27" s="43" customFormat="1" ht="18" hidden="1" customHeight="1" x14ac:dyDescent="0.2">
      <c r="A298" s="53" t="s">
        <v>16</v>
      </c>
      <c r="B298" s="54"/>
      <c r="C298" s="55"/>
      <c r="D298" s="49"/>
      <c r="E298" s="52"/>
      <c r="F298" s="65" t="s">
        <v>425</v>
      </c>
      <c r="G298" s="28"/>
      <c r="H298" s="28"/>
      <c r="I298" s="28"/>
      <c r="J298" s="28"/>
      <c r="K298" s="28"/>
      <c r="L298" s="28"/>
      <c r="M298" s="12">
        <f t="shared" si="102"/>
        <v>0</v>
      </c>
      <c r="N298" s="12">
        <f t="shared" si="103"/>
        <v>0</v>
      </c>
      <c r="O298" s="13">
        <f t="shared" si="104"/>
        <v>0</v>
      </c>
      <c r="P298" s="13">
        <f t="shared" si="105"/>
        <v>0</v>
      </c>
      <c r="Q298" s="14"/>
      <c r="R298" s="14"/>
      <c r="S298" s="15"/>
      <c r="T298" s="16" t="e">
        <f>#REF!-#REF!</f>
        <v>#REF!</v>
      </c>
      <c r="W298" s="44"/>
      <c r="X298" s="44"/>
      <c r="AA298" s="19"/>
    </row>
    <row r="299" spans="1:27" s="43" customFormat="1" ht="18" customHeight="1" x14ac:dyDescent="0.2">
      <c r="A299" s="53" t="s">
        <v>16</v>
      </c>
      <c r="B299" s="54"/>
      <c r="C299" s="55"/>
      <c r="D299" s="49"/>
      <c r="E299" s="52"/>
      <c r="F299" s="65" t="s">
        <v>426</v>
      </c>
      <c r="G299" s="39">
        <v>0</v>
      </c>
      <c r="H299" s="39">
        <v>0</v>
      </c>
      <c r="I299" s="39">
        <v>0</v>
      </c>
      <c r="J299" s="39">
        <v>108100</v>
      </c>
      <c r="K299" s="39">
        <v>151919.03</v>
      </c>
      <c r="L299" s="39">
        <f>287502.15+41110.47+65677.97</f>
        <v>394290.58999999997</v>
      </c>
      <c r="M299" s="12">
        <f t="shared" si="102"/>
        <v>108100</v>
      </c>
      <c r="N299" s="12">
        <f t="shared" si="103"/>
        <v>108100</v>
      </c>
      <c r="O299" s="13">
        <f t="shared" si="104"/>
        <v>43819.03</v>
      </c>
      <c r="P299" s="13">
        <f t="shared" si="105"/>
        <v>151919.03</v>
      </c>
      <c r="Q299" s="47"/>
      <c r="R299" s="14"/>
      <c r="S299" s="15"/>
      <c r="T299" s="16" t="e">
        <f>#REF!-#REF!</f>
        <v>#REF!</v>
      </c>
      <c r="W299" s="44"/>
      <c r="X299" s="44"/>
      <c r="AA299" s="19"/>
    </row>
    <row r="300" spans="1:27" s="43" customFormat="1" ht="18" customHeight="1" x14ac:dyDescent="0.2">
      <c r="A300" s="53" t="s">
        <v>16</v>
      </c>
      <c r="B300" s="54"/>
      <c r="C300" s="55"/>
      <c r="D300" s="49"/>
      <c r="E300" s="52"/>
      <c r="F300" s="65" t="s">
        <v>427</v>
      </c>
      <c r="G300" s="39">
        <v>0</v>
      </c>
      <c r="H300" s="39">
        <v>0</v>
      </c>
      <c r="I300" s="39"/>
      <c r="J300" s="39"/>
      <c r="K300" s="39">
        <v>492869.08</v>
      </c>
      <c r="L300" s="39">
        <v>474687.82</v>
      </c>
      <c r="M300" s="12">
        <f t="shared" si="102"/>
        <v>0</v>
      </c>
      <c r="N300" s="12">
        <f t="shared" si="103"/>
        <v>0</v>
      </c>
      <c r="O300" s="13">
        <f t="shared" si="104"/>
        <v>492869.08</v>
      </c>
      <c r="P300" s="13">
        <f t="shared" si="105"/>
        <v>492869.08</v>
      </c>
      <c r="Q300" s="14"/>
      <c r="R300" s="14"/>
      <c r="S300" s="15"/>
      <c r="T300" s="16" t="e">
        <f>#REF!-#REF!</f>
        <v>#REF!</v>
      </c>
      <c r="W300" s="44"/>
      <c r="X300" s="44"/>
      <c r="AA300" s="19"/>
    </row>
    <row r="301" spans="1:27" s="43" customFormat="1" ht="18" customHeight="1" x14ac:dyDescent="0.2">
      <c r="A301" s="53"/>
      <c r="B301" s="54"/>
      <c r="C301" s="55"/>
      <c r="D301" s="49"/>
      <c r="E301" s="52"/>
      <c r="F301" s="65" t="s">
        <v>428</v>
      </c>
      <c r="G301" s="39">
        <v>259700</v>
      </c>
      <c r="H301" s="39">
        <f>G301</f>
        <v>259700</v>
      </c>
      <c r="I301" s="39">
        <f>H301</f>
        <v>259700</v>
      </c>
      <c r="J301" s="39">
        <f>258579.54+35000</f>
        <v>293579.54000000004</v>
      </c>
      <c r="K301" s="39">
        <v>292874.53999999998</v>
      </c>
      <c r="L301" s="39">
        <v>254100</v>
      </c>
      <c r="M301" s="12">
        <f t="shared" si="102"/>
        <v>33879.540000000037</v>
      </c>
      <c r="N301" s="12">
        <f t="shared" si="103"/>
        <v>33879.540000000037</v>
      </c>
      <c r="O301" s="13">
        <f t="shared" si="104"/>
        <v>-705.00000000005821</v>
      </c>
      <c r="P301" s="13">
        <f t="shared" si="105"/>
        <v>33174.539999999979</v>
      </c>
      <c r="Q301" s="46"/>
      <c r="R301" s="47" t="s">
        <v>429</v>
      </c>
      <c r="S301" s="15"/>
      <c r="T301" s="16" t="e">
        <f>#REF!-#REF!</f>
        <v>#REF!</v>
      </c>
      <c r="W301" s="44"/>
      <c r="X301" s="44"/>
      <c r="AA301" s="19"/>
    </row>
    <row r="302" spans="1:27" s="43" customFormat="1" ht="18" customHeight="1" x14ac:dyDescent="0.2">
      <c r="A302" s="53"/>
      <c r="B302" s="54"/>
      <c r="C302" s="55"/>
      <c r="D302" s="49"/>
      <c r="E302" s="52"/>
      <c r="F302" s="65" t="s">
        <v>430</v>
      </c>
      <c r="G302" s="39">
        <v>259700</v>
      </c>
      <c r="H302" s="39">
        <f>G302</f>
        <v>259700</v>
      </c>
      <c r="I302" s="39">
        <f>H302</f>
        <v>259700</v>
      </c>
      <c r="J302" s="39">
        <f>258579.54+35000</f>
        <v>293579.54000000004</v>
      </c>
      <c r="K302" s="39">
        <v>59999.66</v>
      </c>
      <c r="L302" s="39">
        <v>0</v>
      </c>
      <c r="M302" s="12">
        <f t="shared" si="102"/>
        <v>33879.540000000037</v>
      </c>
      <c r="N302" s="12">
        <f t="shared" si="103"/>
        <v>33879.540000000037</v>
      </c>
      <c r="O302" s="13">
        <f t="shared" si="104"/>
        <v>-233579.88000000003</v>
      </c>
      <c r="P302" s="13">
        <f t="shared" si="105"/>
        <v>-199700.34</v>
      </c>
      <c r="Q302" s="46"/>
      <c r="R302" s="47" t="s">
        <v>429</v>
      </c>
      <c r="S302" s="15"/>
      <c r="T302" s="16" t="e">
        <f>#REF!-#REF!</f>
        <v>#REF!</v>
      </c>
      <c r="W302" s="44"/>
      <c r="X302" s="44"/>
      <c r="AA302" s="19"/>
    </row>
    <row r="303" spans="1:27" s="17" customFormat="1" ht="18" hidden="1" customHeight="1" x14ac:dyDescent="0.2">
      <c r="A303" s="20" t="s">
        <v>16</v>
      </c>
      <c r="B303" s="48"/>
      <c r="C303" s="49"/>
      <c r="D303" s="49" t="s">
        <v>431</v>
      </c>
      <c r="E303" s="57"/>
      <c r="F303" s="58"/>
      <c r="G303" s="28">
        <f>G304</f>
        <v>0</v>
      </c>
      <c r="H303" s="28">
        <f t="shared" ref="H303:L304" si="114">H304</f>
        <v>0</v>
      </c>
      <c r="I303" s="28">
        <f t="shared" si="114"/>
        <v>0</v>
      </c>
      <c r="J303" s="28">
        <f t="shared" si="114"/>
        <v>0</v>
      </c>
      <c r="K303" s="28">
        <f t="shared" si="114"/>
        <v>0</v>
      </c>
      <c r="L303" s="28">
        <f t="shared" si="114"/>
        <v>0</v>
      </c>
      <c r="M303" s="12">
        <f t="shared" si="102"/>
        <v>0</v>
      </c>
      <c r="N303" s="12">
        <f t="shared" si="103"/>
        <v>0</v>
      </c>
      <c r="O303" s="13">
        <f t="shared" si="104"/>
        <v>0</v>
      </c>
      <c r="P303" s="13">
        <f t="shared" si="105"/>
        <v>0</v>
      </c>
      <c r="Q303" s="14"/>
      <c r="R303" s="14"/>
      <c r="S303" s="15"/>
      <c r="T303" s="16" t="e">
        <f>#REF!-#REF!</f>
        <v>#REF!</v>
      </c>
      <c r="W303" s="18"/>
      <c r="X303" s="18"/>
      <c r="AA303" s="19"/>
    </row>
    <row r="304" spans="1:27" s="33" customFormat="1" ht="18" hidden="1" customHeight="1" x14ac:dyDescent="0.2">
      <c r="A304" s="50" t="s">
        <v>16</v>
      </c>
      <c r="B304" s="51"/>
      <c r="C304" s="52"/>
      <c r="D304" s="57"/>
      <c r="E304" s="52" t="s">
        <v>431</v>
      </c>
      <c r="F304" s="59"/>
      <c r="G304" s="15">
        <f>G305</f>
        <v>0</v>
      </c>
      <c r="H304" s="15"/>
      <c r="I304" s="15"/>
      <c r="J304" s="15">
        <f t="shared" si="114"/>
        <v>0</v>
      </c>
      <c r="K304" s="15">
        <f t="shared" si="114"/>
        <v>0</v>
      </c>
      <c r="L304" s="15">
        <f t="shared" si="114"/>
        <v>0</v>
      </c>
      <c r="M304" s="12">
        <f t="shared" si="102"/>
        <v>0</v>
      </c>
      <c r="N304" s="12">
        <f t="shared" si="103"/>
        <v>0</v>
      </c>
      <c r="O304" s="13">
        <f t="shared" si="104"/>
        <v>0</v>
      </c>
      <c r="P304" s="13">
        <f t="shared" si="105"/>
        <v>0</v>
      </c>
      <c r="Q304" s="14"/>
      <c r="R304" s="14"/>
      <c r="S304" s="15"/>
      <c r="T304" s="16" t="e">
        <f>#REF!-#REF!</f>
        <v>#REF!</v>
      </c>
      <c r="W304" s="34"/>
      <c r="X304" s="34"/>
      <c r="AA304" s="19"/>
    </row>
    <row r="305" spans="1:27" s="43" customFormat="1" ht="18" hidden="1" customHeight="1" x14ac:dyDescent="0.2">
      <c r="A305" s="53" t="s">
        <v>16</v>
      </c>
      <c r="B305" s="54"/>
      <c r="C305" s="55"/>
      <c r="D305" s="49"/>
      <c r="E305" s="52"/>
      <c r="F305" s="65" t="s">
        <v>432</v>
      </c>
      <c r="G305" s="39">
        <v>0</v>
      </c>
      <c r="H305" s="39"/>
      <c r="I305" s="39"/>
      <c r="J305" s="39">
        <v>0</v>
      </c>
      <c r="K305" s="39">
        <v>0</v>
      </c>
      <c r="L305" s="60">
        <v>0</v>
      </c>
      <c r="M305" s="12">
        <f t="shared" si="102"/>
        <v>0</v>
      </c>
      <c r="N305" s="12">
        <f t="shared" si="103"/>
        <v>0</v>
      </c>
      <c r="O305" s="13">
        <f t="shared" si="104"/>
        <v>0</v>
      </c>
      <c r="P305" s="13">
        <f t="shared" si="105"/>
        <v>0</v>
      </c>
      <c r="Q305" s="14"/>
      <c r="R305" s="14"/>
      <c r="S305" s="15"/>
      <c r="T305" s="16" t="e">
        <f>#REF!-#REF!</f>
        <v>#REF!</v>
      </c>
      <c r="W305" s="44"/>
      <c r="X305" s="44"/>
      <c r="AA305" s="19"/>
    </row>
    <row r="306" spans="1:27" s="17" customFormat="1" ht="18" customHeight="1" x14ac:dyDescent="0.2">
      <c r="A306" s="20" t="s">
        <v>16</v>
      </c>
      <c r="B306" s="21"/>
      <c r="C306" s="63" t="s">
        <v>433</v>
      </c>
      <c r="D306" s="63"/>
      <c r="E306" s="66"/>
      <c r="F306" s="22"/>
      <c r="G306" s="11">
        <f t="shared" ref="G306:N306" si="115">G307</f>
        <v>45100</v>
      </c>
      <c r="H306" s="11">
        <f t="shared" si="115"/>
        <v>49079.13</v>
      </c>
      <c r="I306" s="11">
        <f t="shared" si="115"/>
        <v>51203.960000000006</v>
      </c>
      <c r="J306" s="11">
        <f t="shared" si="115"/>
        <v>59409.79</v>
      </c>
      <c r="K306" s="11">
        <f t="shared" si="115"/>
        <v>56638.1</v>
      </c>
      <c r="L306" s="11">
        <f>L307</f>
        <v>46859.62</v>
      </c>
      <c r="M306" s="11">
        <f t="shared" si="115"/>
        <v>8205.8299999999963</v>
      </c>
      <c r="N306" s="11">
        <f t="shared" si="115"/>
        <v>14309.790000000003</v>
      </c>
      <c r="O306" s="13">
        <f t="shared" si="104"/>
        <v>-2771.6900000000023</v>
      </c>
      <c r="P306" s="13">
        <f t="shared" si="105"/>
        <v>11538.099999999999</v>
      </c>
      <c r="Q306" s="14"/>
      <c r="R306" s="14"/>
      <c r="S306" s="15"/>
      <c r="T306" s="16" t="e">
        <f>#REF!-#REF!</f>
        <v>#REF!</v>
      </c>
      <c r="W306" s="18"/>
      <c r="X306" s="18"/>
      <c r="AA306" s="19"/>
    </row>
    <row r="307" spans="1:27" s="17" customFormat="1" ht="18" customHeight="1" x14ac:dyDescent="0.2">
      <c r="A307" s="20" t="s">
        <v>16</v>
      </c>
      <c r="B307" s="48"/>
      <c r="C307" s="49"/>
      <c r="D307" s="49" t="s">
        <v>434</v>
      </c>
      <c r="E307" s="57"/>
      <c r="F307" s="58"/>
      <c r="G307" s="28">
        <f t="shared" ref="G307:N307" si="116">G308+G315</f>
        <v>45100</v>
      </c>
      <c r="H307" s="28">
        <f t="shared" si="116"/>
        <v>49079.13</v>
      </c>
      <c r="I307" s="28">
        <f t="shared" si="116"/>
        <v>51203.960000000006</v>
      </c>
      <c r="J307" s="28">
        <f t="shared" si="116"/>
        <v>59409.79</v>
      </c>
      <c r="K307" s="28">
        <f t="shared" si="116"/>
        <v>56638.1</v>
      </c>
      <c r="L307" s="28">
        <f>L308+L315</f>
        <v>46859.62</v>
      </c>
      <c r="M307" s="28">
        <f t="shared" si="116"/>
        <v>8205.8299999999963</v>
      </c>
      <c r="N307" s="28">
        <f t="shared" si="116"/>
        <v>14309.790000000003</v>
      </c>
      <c r="O307" s="13">
        <f t="shared" si="104"/>
        <v>-2771.6900000000023</v>
      </c>
      <c r="P307" s="13">
        <f t="shared" si="105"/>
        <v>11538.099999999999</v>
      </c>
      <c r="Q307" s="14"/>
      <c r="R307" s="14"/>
      <c r="S307" s="15"/>
      <c r="T307" s="16" t="e">
        <f>#REF!-#REF!</f>
        <v>#REF!</v>
      </c>
      <c r="W307" s="18"/>
      <c r="X307" s="18"/>
      <c r="AA307" s="19"/>
    </row>
    <row r="308" spans="1:27" s="33" customFormat="1" ht="18" customHeight="1" x14ac:dyDescent="0.2">
      <c r="A308" s="50" t="s">
        <v>16</v>
      </c>
      <c r="B308" s="51"/>
      <c r="C308" s="52"/>
      <c r="D308" s="57"/>
      <c r="E308" s="52" t="s">
        <v>435</v>
      </c>
      <c r="F308" s="59"/>
      <c r="G308" s="15">
        <f t="shared" ref="G308:N308" si="117">G310+G311+G313</f>
        <v>400</v>
      </c>
      <c r="H308" s="15">
        <f t="shared" si="117"/>
        <v>448</v>
      </c>
      <c r="I308" s="15">
        <f t="shared" si="117"/>
        <v>448</v>
      </c>
      <c r="J308" s="15">
        <f t="shared" si="117"/>
        <v>352.13</v>
      </c>
      <c r="K308" s="15">
        <f t="shared" si="117"/>
        <v>305.93</v>
      </c>
      <c r="L308" s="15">
        <f>L310+L311+L313</f>
        <v>257.73</v>
      </c>
      <c r="M308" s="15">
        <f t="shared" si="117"/>
        <v>-95.87</v>
      </c>
      <c r="N308" s="15">
        <f t="shared" si="117"/>
        <v>-47.870000000000005</v>
      </c>
      <c r="O308" s="13">
        <f t="shared" si="104"/>
        <v>-46.199999999999989</v>
      </c>
      <c r="P308" s="13">
        <f t="shared" si="105"/>
        <v>-94.07</v>
      </c>
      <c r="Q308" s="14"/>
      <c r="R308" s="14"/>
      <c r="S308" s="15"/>
      <c r="T308" s="16" t="e">
        <f>#REF!-#REF!</f>
        <v>#REF!</v>
      </c>
      <c r="W308" s="34"/>
      <c r="X308" s="34"/>
      <c r="AA308" s="19"/>
    </row>
    <row r="309" spans="1:27" s="43" customFormat="1" ht="18" hidden="1" customHeight="1" x14ac:dyDescent="0.2">
      <c r="A309" s="53" t="s">
        <v>16</v>
      </c>
      <c r="B309" s="54"/>
      <c r="C309" s="55"/>
      <c r="D309" s="49"/>
      <c r="E309" s="52"/>
      <c r="F309" s="65" t="s">
        <v>436</v>
      </c>
      <c r="G309" s="60"/>
      <c r="H309" s="60"/>
      <c r="I309" s="60"/>
      <c r="J309" s="60"/>
      <c r="K309" s="60"/>
      <c r="L309" s="60"/>
      <c r="M309" s="12">
        <f t="shared" ref="M309:M359" si="118">J309-I309</f>
        <v>0</v>
      </c>
      <c r="N309" s="12">
        <f t="shared" ref="N309:N359" si="119">J309-G309</f>
        <v>0</v>
      </c>
      <c r="O309" s="13">
        <f t="shared" si="104"/>
        <v>0</v>
      </c>
      <c r="P309" s="13">
        <f t="shared" si="105"/>
        <v>0</v>
      </c>
      <c r="Q309" s="14"/>
      <c r="R309" s="14"/>
      <c r="S309" s="15"/>
      <c r="T309" s="16" t="e">
        <f>#REF!-#REF!</f>
        <v>#REF!</v>
      </c>
      <c r="W309" s="44"/>
      <c r="X309" s="44"/>
      <c r="AA309" s="19"/>
    </row>
    <row r="310" spans="1:27" s="43" customFormat="1" ht="18" customHeight="1" x14ac:dyDescent="0.2">
      <c r="A310" s="53" t="s">
        <v>16</v>
      </c>
      <c r="B310" s="54"/>
      <c r="C310" s="55"/>
      <c r="D310" s="49"/>
      <c r="E310" s="52"/>
      <c r="F310" s="65" t="s">
        <v>437</v>
      </c>
      <c r="G310" s="39">
        <v>0</v>
      </c>
      <c r="H310" s="39">
        <v>48</v>
      </c>
      <c r="I310" s="39">
        <f>H310</f>
        <v>48</v>
      </c>
      <c r="J310" s="39">
        <f>I310</f>
        <v>48</v>
      </c>
      <c r="K310" s="39">
        <v>48</v>
      </c>
      <c r="L310" s="39">
        <v>0</v>
      </c>
      <c r="M310" s="12">
        <f t="shared" si="118"/>
        <v>0</v>
      </c>
      <c r="N310" s="12">
        <f t="shared" si="119"/>
        <v>48</v>
      </c>
      <c r="O310" s="13">
        <f t="shared" si="104"/>
        <v>0</v>
      </c>
      <c r="P310" s="13">
        <f t="shared" si="105"/>
        <v>48</v>
      </c>
      <c r="Q310" s="45" t="s">
        <v>438</v>
      </c>
      <c r="R310" s="14"/>
      <c r="S310" s="15"/>
      <c r="T310" s="16" t="e">
        <f>#REF!-#REF!</f>
        <v>#REF!</v>
      </c>
      <c r="W310" s="44"/>
      <c r="X310" s="44"/>
      <c r="AA310" s="19"/>
    </row>
    <row r="311" spans="1:27" s="43" customFormat="1" ht="18" customHeight="1" x14ac:dyDescent="0.2">
      <c r="A311" s="53" t="s">
        <v>16</v>
      </c>
      <c r="B311" s="54"/>
      <c r="C311" s="55"/>
      <c r="D311" s="49"/>
      <c r="E311" s="52"/>
      <c r="F311" s="65" t="s">
        <v>439</v>
      </c>
      <c r="G311" s="39">
        <v>300</v>
      </c>
      <c r="H311" s="39">
        <f>G311</f>
        <v>300</v>
      </c>
      <c r="I311" s="39">
        <f t="shared" ref="I311:I313" si="120">H311</f>
        <v>300</v>
      </c>
      <c r="J311" s="39">
        <f>I311</f>
        <v>300</v>
      </c>
      <c r="K311" s="39">
        <v>253.8</v>
      </c>
      <c r="L311" s="39">
        <v>253.6</v>
      </c>
      <c r="M311" s="12">
        <f t="shared" si="118"/>
        <v>0</v>
      </c>
      <c r="N311" s="12">
        <f t="shared" si="119"/>
        <v>0</v>
      </c>
      <c r="O311" s="13">
        <f t="shared" si="104"/>
        <v>-46.199999999999989</v>
      </c>
      <c r="P311" s="13">
        <f t="shared" si="105"/>
        <v>-46.199999999999989</v>
      </c>
      <c r="Q311" s="14"/>
      <c r="R311" s="14"/>
      <c r="S311" s="15"/>
      <c r="T311" s="16" t="e">
        <f>#REF!-#REF!</f>
        <v>#REF!</v>
      </c>
      <c r="W311" s="44"/>
      <c r="X311" s="44"/>
      <c r="AA311" s="19"/>
    </row>
    <row r="312" spans="1:27" s="43" customFormat="1" ht="18" hidden="1" customHeight="1" x14ac:dyDescent="0.2">
      <c r="A312" s="53" t="s">
        <v>16</v>
      </c>
      <c r="B312" s="54"/>
      <c r="C312" s="55"/>
      <c r="D312" s="49"/>
      <c r="E312" s="52"/>
      <c r="F312" s="65" t="s">
        <v>440</v>
      </c>
      <c r="G312" s="39"/>
      <c r="H312" s="39"/>
      <c r="I312" s="39">
        <f t="shared" si="120"/>
        <v>0</v>
      </c>
      <c r="J312" s="39"/>
      <c r="K312" s="39"/>
      <c r="L312" s="39"/>
      <c r="M312" s="12">
        <f t="shared" si="118"/>
        <v>0</v>
      </c>
      <c r="N312" s="12">
        <f t="shared" si="119"/>
        <v>0</v>
      </c>
      <c r="O312" s="13">
        <f t="shared" si="104"/>
        <v>0</v>
      </c>
      <c r="P312" s="13">
        <f t="shared" si="105"/>
        <v>0</v>
      </c>
      <c r="Q312" s="14"/>
      <c r="R312" s="14"/>
      <c r="S312" s="15"/>
      <c r="T312" s="16" t="e">
        <f>#REF!-#REF!</f>
        <v>#REF!</v>
      </c>
      <c r="W312" s="44"/>
      <c r="X312" s="44"/>
      <c r="AA312" s="19"/>
    </row>
    <row r="313" spans="1:27" s="43" customFormat="1" ht="18" customHeight="1" x14ac:dyDescent="0.2">
      <c r="A313" s="53" t="s">
        <v>16</v>
      </c>
      <c r="B313" s="54"/>
      <c r="C313" s="55"/>
      <c r="D313" s="49"/>
      <c r="E313" s="52"/>
      <c r="F313" s="65" t="s">
        <v>441</v>
      </c>
      <c r="G313" s="39">
        <v>100</v>
      </c>
      <c r="H313" s="39">
        <v>100</v>
      </c>
      <c r="I313" s="39">
        <f t="shared" si="120"/>
        <v>100</v>
      </c>
      <c r="J313" s="39">
        <v>4.13</v>
      </c>
      <c r="K313" s="39">
        <v>4.13</v>
      </c>
      <c r="L313" s="39">
        <v>4.13</v>
      </c>
      <c r="M313" s="12">
        <f t="shared" si="118"/>
        <v>-95.87</v>
      </c>
      <c r="N313" s="12">
        <f t="shared" si="119"/>
        <v>-95.87</v>
      </c>
      <c r="O313" s="13">
        <f t="shared" si="104"/>
        <v>0</v>
      </c>
      <c r="P313" s="13">
        <f t="shared" si="105"/>
        <v>-95.87</v>
      </c>
      <c r="Q313" s="14"/>
      <c r="R313" s="14"/>
      <c r="S313" s="15"/>
      <c r="T313" s="16" t="e">
        <f>#REF!-#REF!</f>
        <v>#REF!</v>
      </c>
      <c r="W313" s="44"/>
      <c r="X313" s="44"/>
      <c r="AA313" s="19"/>
    </row>
    <row r="314" spans="1:27" s="43" customFormat="1" ht="18" hidden="1" customHeight="1" x14ac:dyDescent="0.2">
      <c r="A314" s="53" t="s">
        <v>16</v>
      </c>
      <c r="B314" s="54"/>
      <c r="C314" s="55"/>
      <c r="D314" s="49"/>
      <c r="E314" s="52"/>
      <c r="F314" s="65" t="s">
        <v>442</v>
      </c>
      <c r="G314" s="60"/>
      <c r="H314" s="60"/>
      <c r="I314" s="60"/>
      <c r="J314" s="60"/>
      <c r="K314" s="60"/>
      <c r="L314" s="60"/>
      <c r="M314" s="12">
        <f t="shared" si="118"/>
        <v>0</v>
      </c>
      <c r="N314" s="12">
        <f t="shared" si="119"/>
        <v>0</v>
      </c>
      <c r="O314" s="13">
        <f t="shared" si="104"/>
        <v>0</v>
      </c>
      <c r="P314" s="13">
        <f t="shared" si="105"/>
        <v>0</v>
      </c>
      <c r="Q314" s="14"/>
      <c r="R314" s="14"/>
      <c r="S314" s="15"/>
      <c r="T314" s="16" t="e">
        <f>#REF!-#REF!</f>
        <v>#REF!</v>
      </c>
      <c r="W314" s="44"/>
      <c r="X314" s="44"/>
      <c r="AA314" s="19"/>
    </row>
    <row r="315" spans="1:27" s="33" customFormat="1" ht="18" customHeight="1" x14ac:dyDescent="0.2">
      <c r="A315" s="50" t="s">
        <v>16</v>
      </c>
      <c r="B315" s="51"/>
      <c r="C315" s="52"/>
      <c r="D315" s="57"/>
      <c r="E315" s="52" t="s">
        <v>443</v>
      </c>
      <c r="F315" s="59"/>
      <c r="G315" s="15">
        <f t="shared" ref="G315:K315" si="121">SUM(G316:G327)</f>
        <v>44700</v>
      </c>
      <c r="H315" s="15">
        <f t="shared" si="121"/>
        <v>48631.13</v>
      </c>
      <c r="I315" s="15">
        <f t="shared" si="121"/>
        <v>50755.960000000006</v>
      </c>
      <c r="J315" s="15">
        <f t="shared" si="121"/>
        <v>59057.66</v>
      </c>
      <c r="K315" s="15">
        <f t="shared" si="121"/>
        <v>56332.17</v>
      </c>
      <c r="L315" s="15">
        <f>SUM(L316:L327)</f>
        <v>46601.89</v>
      </c>
      <c r="M315" s="12">
        <f t="shared" si="118"/>
        <v>8301.6999999999971</v>
      </c>
      <c r="N315" s="12">
        <f t="shared" si="119"/>
        <v>14357.660000000003</v>
      </c>
      <c r="O315" s="13">
        <f t="shared" si="104"/>
        <v>-2725.4900000000052</v>
      </c>
      <c r="P315" s="13">
        <f t="shared" si="105"/>
        <v>11632.169999999998</v>
      </c>
      <c r="Q315" s="14"/>
      <c r="R315" s="14"/>
      <c r="S315" s="15"/>
      <c r="T315" s="16" t="e">
        <f>#REF!-#REF!</f>
        <v>#REF!</v>
      </c>
      <c r="W315" s="34"/>
      <c r="X315" s="34"/>
      <c r="AA315" s="19"/>
    </row>
    <row r="316" spans="1:27" s="43" customFormat="1" ht="18" customHeight="1" x14ac:dyDescent="0.2">
      <c r="A316" s="53" t="s">
        <v>16</v>
      </c>
      <c r="B316" s="54"/>
      <c r="C316" s="55"/>
      <c r="D316" s="49"/>
      <c r="E316" s="52"/>
      <c r="F316" s="65" t="s">
        <v>444</v>
      </c>
      <c r="G316" s="39">
        <v>200</v>
      </c>
      <c r="H316" s="39">
        <v>200</v>
      </c>
      <c r="I316" s="39">
        <f>H316</f>
        <v>200</v>
      </c>
      <c r="J316" s="39">
        <v>200</v>
      </c>
      <c r="K316" s="39">
        <v>193.56</v>
      </c>
      <c r="L316" s="39">
        <v>194.1</v>
      </c>
      <c r="M316" s="12">
        <f t="shared" si="118"/>
        <v>0</v>
      </c>
      <c r="N316" s="12">
        <f t="shared" si="119"/>
        <v>0</v>
      </c>
      <c r="O316" s="13">
        <f t="shared" si="104"/>
        <v>-6.4399999999999977</v>
      </c>
      <c r="P316" s="13">
        <f t="shared" si="105"/>
        <v>-6.4399999999999977</v>
      </c>
      <c r="Q316" s="45" t="s">
        <v>445</v>
      </c>
      <c r="R316" s="14"/>
      <c r="S316" s="15"/>
      <c r="T316" s="16" t="e">
        <f>#REF!-#REF!</f>
        <v>#REF!</v>
      </c>
      <c r="W316" s="44"/>
      <c r="X316" s="44"/>
      <c r="AA316" s="19"/>
    </row>
    <row r="317" spans="1:27" s="43" customFormat="1" ht="18" customHeight="1" x14ac:dyDescent="0.2">
      <c r="A317" s="53" t="s">
        <v>16</v>
      </c>
      <c r="B317" s="54"/>
      <c r="C317" s="55"/>
      <c r="D317" s="49"/>
      <c r="E317" s="52"/>
      <c r="F317" s="65" t="s">
        <v>446</v>
      </c>
      <c r="G317" s="39">
        <v>3100</v>
      </c>
      <c r="H317" s="39">
        <v>3700</v>
      </c>
      <c r="I317" s="39">
        <f t="shared" ref="I317:I327" si="122">H317</f>
        <v>3700</v>
      </c>
      <c r="J317" s="39">
        <v>3600</v>
      </c>
      <c r="K317" s="39">
        <v>3459.61</v>
      </c>
      <c r="L317" s="39">
        <f>1134.52+1980</f>
        <v>3114.52</v>
      </c>
      <c r="M317" s="12">
        <f t="shared" si="118"/>
        <v>-100</v>
      </c>
      <c r="N317" s="12">
        <f t="shared" si="119"/>
        <v>500</v>
      </c>
      <c r="O317" s="13">
        <f t="shared" si="104"/>
        <v>-140.38999999999987</v>
      </c>
      <c r="P317" s="13">
        <f t="shared" si="105"/>
        <v>359.61000000000013</v>
      </c>
      <c r="Q317" s="45" t="s">
        <v>447</v>
      </c>
      <c r="R317" s="14"/>
      <c r="S317" s="15"/>
      <c r="T317" s="16" t="e">
        <f>#REF!-#REF!</f>
        <v>#REF!</v>
      </c>
      <c r="W317" s="44"/>
      <c r="X317" s="44"/>
      <c r="AA317" s="19"/>
    </row>
    <row r="318" spans="1:27" s="43" customFormat="1" ht="18" customHeight="1" x14ac:dyDescent="0.2">
      <c r="A318" s="53" t="s">
        <v>16</v>
      </c>
      <c r="B318" s="54"/>
      <c r="C318" s="55"/>
      <c r="D318" s="49"/>
      <c r="E318" s="52"/>
      <c r="F318" s="65" t="s">
        <v>448</v>
      </c>
      <c r="G318" s="39">
        <v>6900</v>
      </c>
      <c r="H318" s="39">
        <f>G318</f>
        <v>6900</v>
      </c>
      <c r="I318" s="39">
        <v>7100</v>
      </c>
      <c r="J318" s="39">
        <f>I318</f>
        <v>7100</v>
      </c>
      <c r="K318" s="39">
        <v>6927.9</v>
      </c>
      <c r="L318" s="39">
        <v>6358.32</v>
      </c>
      <c r="M318" s="12">
        <f t="shared" si="118"/>
        <v>0</v>
      </c>
      <c r="N318" s="12">
        <f t="shared" si="119"/>
        <v>200</v>
      </c>
      <c r="O318" s="13">
        <f t="shared" si="104"/>
        <v>-172.10000000000036</v>
      </c>
      <c r="P318" s="13">
        <f t="shared" si="105"/>
        <v>27.899999999999636</v>
      </c>
      <c r="Q318" s="14"/>
      <c r="R318" s="14"/>
      <c r="S318" s="15"/>
      <c r="T318" s="16" t="e">
        <f>#REF!-#REF!</f>
        <v>#REF!</v>
      </c>
      <c r="W318" s="44"/>
      <c r="X318" s="44"/>
      <c r="AA318" s="19"/>
    </row>
    <row r="319" spans="1:27" s="43" customFormat="1" ht="18" customHeight="1" x14ac:dyDescent="0.2">
      <c r="A319" s="53" t="s">
        <v>16</v>
      </c>
      <c r="B319" s="54"/>
      <c r="C319" s="55"/>
      <c r="D319" s="49"/>
      <c r="E319" s="52"/>
      <c r="F319" s="65" t="s">
        <v>449</v>
      </c>
      <c r="G319" s="39">
        <v>18300</v>
      </c>
      <c r="H319" s="39">
        <f>G319</f>
        <v>18300</v>
      </c>
      <c r="I319" s="39">
        <f t="shared" si="122"/>
        <v>18300</v>
      </c>
      <c r="J319" s="39">
        <v>18100</v>
      </c>
      <c r="K319" s="39">
        <v>18093.66</v>
      </c>
      <c r="L319" s="39">
        <v>17932.259999999998</v>
      </c>
      <c r="M319" s="12">
        <f t="shared" si="118"/>
        <v>-200</v>
      </c>
      <c r="N319" s="12">
        <f t="shared" si="119"/>
        <v>-200</v>
      </c>
      <c r="O319" s="13">
        <f t="shared" si="104"/>
        <v>-6.3400000000001455</v>
      </c>
      <c r="P319" s="13">
        <f t="shared" si="105"/>
        <v>-206.34000000000015</v>
      </c>
      <c r="Q319" s="14"/>
      <c r="R319" s="14"/>
      <c r="S319" s="15"/>
      <c r="T319" s="16" t="e">
        <f>#REF!-#REF!</f>
        <v>#REF!</v>
      </c>
      <c r="W319" s="44"/>
      <c r="X319" s="44"/>
      <c r="AA319" s="19"/>
    </row>
    <row r="320" spans="1:27" s="43" customFormat="1" ht="18" customHeight="1" x14ac:dyDescent="0.2">
      <c r="A320" s="53" t="s">
        <v>16</v>
      </c>
      <c r="B320" s="54"/>
      <c r="C320" s="55"/>
      <c r="D320" s="49"/>
      <c r="E320" s="52"/>
      <c r="F320" s="65" t="s">
        <v>450</v>
      </c>
      <c r="G320" s="39">
        <v>0</v>
      </c>
      <c r="H320" s="39">
        <v>4.8600000000000003</v>
      </c>
      <c r="I320" s="39">
        <v>4.88</v>
      </c>
      <c r="J320" s="39">
        <f>I320</f>
        <v>4.88</v>
      </c>
      <c r="K320" s="39">
        <v>4.88</v>
      </c>
      <c r="L320" s="39">
        <v>0.24</v>
      </c>
      <c r="M320" s="12">
        <f t="shared" si="118"/>
        <v>0</v>
      </c>
      <c r="N320" s="12">
        <f t="shared" si="119"/>
        <v>4.88</v>
      </c>
      <c r="O320" s="13">
        <f t="shared" si="104"/>
        <v>0</v>
      </c>
      <c r="P320" s="13">
        <f t="shared" si="105"/>
        <v>4.88</v>
      </c>
      <c r="Q320" s="14"/>
      <c r="R320" s="14"/>
      <c r="S320" s="15"/>
      <c r="T320" s="16" t="e">
        <f>#REF!-#REF!</f>
        <v>#REF!</v>
      </c>
      <c r="W320" s="44"/>
      <c r="X320" s="44"/>
      <c r="AA320" s="19"/>
    </row>
    <row r="321" spans="1:27" s="43" customFormat="1" ht="18" hidden="1" customHeight="1" x14ac:dyDescent="0.2">
      <c r="A321" s="53" t="s">
        <v>16</v>
      </c>
      <c r="B321" s="54"/>
      <c r="C321" s="55"/>
      <c r="D321" s="49"/>
      <c r="E321" s="52"/>
      <c r="F321" s="65" t="s">
        <v>451</v>
      </c>
      <c r="G321" s="39"/>
      <c r="H321" s="39"/>
      <c r="I321" s="39">
        <f t="shared" si="122"/>
        <v>0</v>
      </c>
      <c r="J321" s="39"/>
      <c r="K321" s="39"/>
      <c r="L321" s="39"/>
      <c r="M321" s="12">
        <f t="shared" si="118"/>
        <v>0</v>
      </c>
      <c r="N321" s="12">
        <f t="shared" si="119"/>
        <v>0</v>
      </c>
      <c r="O321" s="13">
        <f t="shared" si="104"/>
        <v>0</v>
      </c>
      <c r="P321" s="13">
        <f t="shared" si="105"/>
        <v>0</v>
      </c>
      <c r="Q321" s="14"/>
      <c r="R321" s="14"/>
      <c r="S321" s="15"/>
      <c r="T321" s="16" t="e">
        <f>#REF!-#REF!</f>
        <v>#REF!</v>
      </c>
      <c r="W321" s="44"/>
      <c r="X321" s="44"/>
      <c r="AA321" s="19"/>
    </row>
    <row r="322" spans="1:27" s="43" customFormat="1" ht="18" customHeight="1" x14ac:dyDescent="0.2">
      <c r="A322" s="53" t="s">
        <v>16</v>
      </c>
      <c r="B322" s="54"/>
      <c r="C322" s="55"/>
      <c r="D322" s="49"/>
      <c r="E322" s="52"/>
      <c r="F322" s="65" t="s">
        <v>452</v>
      </c>
      <c r="G322" s="39">
        <v>3300</v>
      </c>
      <c r="H322" s="39">
        <f>CEILING(1578.07/7*12,100)</f>
        <v>2800</v>
      </c>
      <c r="I322" s="39">
        <f>CEILING(2196.77/9*12,100)</f>
        <v>3000</v>
      </c>
      <c r="J322" s="39">
        <f>CEILING(2746.17/11*12,100)</f>
        <v>3000</v>
      </c>
      <c r="K322" s="39">
        <v>3029.67</v>
      </c>
      <c r="L322" s="39">
        <v>3502.21</v>
      </c>
      <c r="M322" s="12">
        <f t="shared" si="118"/>
        <v>0</v>
      </c>
      <c r="N322" s="12">
        <f t="shared" si="119"/>
        <v>-300</v>
      </c>
      <c r="O322" s="13">
        <f t="shared" si="104"/>
        <v>29.670000000000073</v>
      </c>
      <c r="P322" s="13">
        <f t="shared" si="105"/>
        <v>-270.32999999999993</v>
      </c>
      <c r="Q322" s="46"/>
      <c r="R322" s="45" t="s">
        <v>453</v>
      </c>
      <c r="S322" s="15"/>
      <c r="T322" s="16" t="e">
        <f>#REF!-#REF!</f>
        <v>#REF!</v>
      </c>
      <c r="W322" s="44"/>
      <c r="X322" s="44"/>
      <c r="AA322" s="19"/>
    </row>
    <row r="323" spans="1:27" s="43" customFormat="1" ht="18" customHeight="1" x14ac:dyDescent="0.2">
      <c r="A323" s="53" t="s">
        <v>16</v>
      </c>
      <c r="B323" s="54"/>
      <c r="C323" s="55"/>
      <c r="D323" s="49"/>
      <c r="E323" s="52"/>
      <c r="F323" s="65" t="s">
        <v>454</v>
      </c>
      <c r="G323" s="39">
        <v>9900</v>
      </c>
      <c r="H323" s="39">
        <v>7300</v>
      </c>
      <c r="I323" s="39">
        <f t="shared" si="122"/>
        <v>7300</v>
      </c>
      <c r="J323" s="39">
        <v>7300</v>
      </c>
      <c r="K323" s="39">
        <v>7193.03</v>
      </c>
      <c r="L323" s="39">
        <v>7991.28</v>
      </c>
      <c r="M323" s="12">
        <f t="shared" si="118"/>
        <v>0</v>
      </c>
      <c r="N323" s="12">
        <f t="shared" si="119"/>
        <v>-2600</v>
      </c>
      <c r="O323" s="13">
        <f t="shared" si="104"/>
        <v>-106.97000000000025</v>
      </c>
      <c r="P323" s="13">
        <f t="shared" si="105"/>
        <v>-2706.9700000000003</v>
      </c>
      <c r="Q323" s="45"/>
      <c r="R323" s="14"/>
      <c r="S323" s="15"/>
      <c r="T323" s="16" t="e">
        <f>#REF!-#REF!</f>
        <v>#REF!</v>
      </c>
      <c r="W323" s="44"/>
      <c r="X323" s="44"/>
      <c r="AA323" s="19"/>
    </row>
    <row r="324" spans="1:27" s="43" customFormat="1" ht="18" customHeight="1" x14ac:dyDescent="0.2">
      <c r="A324" s="53" t="s">
        <v>16</v>
      </c>
      <c r="B324" s="54"/>
      <c r="C324" s="55"/>
      <c r="D324" s="49"/>
      <c r="E324" s="52"/>
      <c r="F324" s="65" t="s">
        <v>455</v>
      </c>
      <c r="G324" s="39">
        <v>3000</v>
      </c>
      <c r="H324" s="39">
        <f>CEILING(484.24*2,100)</f>
        <v>1000</v>
      </c>
      <c r="I324" s="39">
        <f t="shared" si="122"/>
        <v>1000</v>
      </c>
      <c r="J324" s="39">
        <v>5600</v>
      </c>
      <c r="K324" s="39">
        <v>5601.24</v>
      </c>
      <c r="L324" s="39">
        <v>1504.88</v>
      </c>
      <c r="M324" s="12">
        <f t="shared" si="118"/>
        <v>4600</v>
      </c>
      <c r="N324" s="12">
        <f t="shared" si="119"/>
        <v>2600</v>
      </c>
      <c r="O324" s="13">
        <f t="shared" si="104"/>
        <v>1.2399999999997817</v>
      </c>
      <c r="P324" s="13">
        <f t="shared" si="105"/>
        <v>2601.2399999999998</v>
      </c>
      <c r="Q324" s="47"/>
      <c r="R324" s="45" t="s">
        <v>456</v>
      </c>
      <c r="S324" s="15"/>
      <c r="T324" s="16" t="e">
        <f>#REF!-#REF!</f>
        <v>#REF!</v>
      </c>
      <c r="W324" s="44"/>
      <c r="X324" s="44"/>
      <c r="AA324" s="19"/>
    </row>
    <row r="325" spans="1:27" s="43" customFormat="1" ht="18" customHeight="1" x14ac:dyDescent="0.2">
      <c r="A325" s="53" t="s">
        <v>16</v>
      </c>
      <c r="B325" s="54"/>
      <c r="C325" s="55"/>
      <c r="D325" s="49"/>
      <c r="E325" s="52"/>
      <c r="F325" s="65" t="s">
        <v>457</v>
      </c>
      <c r="G325" s="39">
        <v>0</v>
      </c>
      <c r="H325" s="39">
        <v>1300</v>
      </c>
      <c r="I325" s="39">
        <f t="shared" si="122"/>
        <v>1300</v>
      </c>
      <c r="J325" s="39">
        <v>5000</v>
      </c>
      <c r="K325" s="39">
        <v>1260</v>
      </c>
      <c r="L325" s="39">
        <v>1372.49</v>
      </c>
      <c r="M325" s="12">
        <f t="shared" si="118"/>
        <v>3700</v>
      </c>
      <c r="N325" s="12">
        <f t="shared" si="119"/>
        <v>5000</v>
      </c>
      <c r="O325" s="13">
        <f t="shared" ref="O325:O359" si="123">K325-J325</f>
        <v>-3740</v>
      </c>
      <c r="P325" s="13">
        <f t="shared" ref="P325:P359" si="124">K325-G325</f>
        <v>1260</v>
      </c>
      <c r="Q325" s="45" t="s">
        <v>458</v>
      </c>
      <c r="R325" s="14"/>
      <c r="S325" s="15"/>
      <c r="T325" s="16" t="e">
        <f>#REF!-#REF!</f>
        <v>#REF!</v>
      </c>
      <c r="W325" s="44"/>
      <c r="X325" s="44"/>
      <c r="AA325" s="19"/>
    </row>
    <row r="326" spans="1:27" s="43" customFormat="1" ht="18" customHeight="1" x14ac:dyDescent="0.2">
      <c r="A326" s="53" t="s">
        <v>16</v>
      </c>
      <c r="B326" s="54"/>
      <c r="C326" s="55"/>
      <c r="D326" s="49"/>
      <c r="E326" s="52"/>
      <c r="F326" s="65" t="s">
        <v>459</v>
      </c>
      <c r="G326" s="39">
        <v>0</v>
      </c>
      <c r="H326" s="39">
        <v>7103.6</v>
      </c>
      <c r="I326" s="39">
        <v>8828.41</v>
      </c>
      <c r="J326" s="39">
        <v>9130.11</v>
      </c>
      <c r="K326" s="39">
        <v>10545.95</v>
      </c>
      <c r="L326" s="39">
        <f>3943.73+687.86</f>
        <v>4631.59</v>
      </c>
      <c r="M326" s="12">
        <f t="shared" si="118"/>
        <v>301.70000000000073</v>
      </c>
      <c r="N326" s="12">
        <f t="shared" si="119"/>
        <v>9130.11</v>
      </c>
      <c r="O326" s="13">
        <f t="shared" si="123"/>
        <v>1415.8400000000001</v>
      </c>
      <c r="P326" s="13">
        <f t="shared" si="124"/>
        <v>10545.95</v>
      </c>
      <c r="Q326" s="45" t="s">
        <v>460</v>
      </c>
      <c r="R326" s="45" t="s">
        <v>461</v>
      </c>
      <c r="S326" s="15"/>
      <c r="T326" s="16" t="e">
        <f>#REF!-#REF!</f>
        <v>#REF!</v>
      </c>
      <c r="W326" s="44"/>
      <c r="X326" s="44"/>
      <c r="AA326" s="19"/>
    </row>
    <row r="327" spans="1:27" s="43" customFormat="1" ht="18" customHeight="1" x14ac:dyDescent="0.2">
      <c r="A327" s="53" t="s">
        <v>16</v>
      </c>
      <c r="B327" s="54"/>
      <c r="C327" s="55"/>
      <c r="D327" s="49"/>
      <c r="E327" s="52"/>
      <c r="F327" s="65" t="s">
        <v>462</v>
      </c>
      <c r="G327" s="39">
        <v>0</v>
      </c>
      <c r="H327" s="39">
        <v>22.67</v>
      </c>
      <c r="I327" s="39">
        <f t="shared" si="122"/>
        <v>22.67</v>
      </c>
      <c r="J327" s="39">
        <f>I327</f>
        <v>22.67</v>
      </c>
      <c r="K327" s="39">
        <v>22.67</v>
      </c>
      <c r="L327" s="39">
        <v>0</v>
      </c>
      <c r="M327" s="12">
        <f t="shared" si="118"/>
        <v>0</v>
      </c>
      <c r="N327" s="12">
        <f t="shared" si="119"/>
        <v>22.67</v>
      </c>
      <c r="O327" s="13">
        <f t="shared" si="123"/>
        <v>0</v>
      </c>
      <c r="P327" s="13">
        <f t="shared" si="124"/>
        <v>22.67</v>
      </c>
      <c r="Q327" s="45" t="s">
        <v>463</v>
      </c>
      <c r="R327" s="14"/>
      <c r="S327" s="15"/>
      <c r="T327" s="16" t="e">
        <f>#REF!-#REF!</f>
        <v>#REF!</v>
      </c>
      <c r="W327" s="44"/>
      <c r="X327" s="44"/>
      <c r="AA327" s="19"/>
    </row>
    <row r="328" spans="1:27" s="17" customFormat="1" ht="18" customHeight="1" x14ac:dyDescent="0.2">
      <c r="A328" s="20"/>
      <c r="B328" s="104" t="s">
        <v>464</v>
      </c>
      <c r="C328" s="105"/>
      <c r="D328" s="105"/>
      <c r="E328" s="106"/>
      <c r="F328" s="107"/>
      <c r="G328" s="108">
        <f>G2-G87</f>
        <v>-289600</v>
      </c>
      <c r="H328" s="108">
        <f t="shared" ref="H328:J328" si="125">H2-H87</f>
        <v>-244250.75000000186</v>
      </c>
      <c r="I328" s="108">
        <f t="shared" si="125"/>
        <v>-199919.80000000075</v>
      </c>
      <c r="J328" s="108">
        <f t="shared" si="125"/>
        <v>-169077.5</v>
      </c>
      <c r="K328" s="108">
        <f>K2-K87</f>
        <v>690.17999999970198</v>
      </c>
      <c r="L328" s="108">
        <f>L2-L87</f>
        <v>-26462.79999999702</v>
      </c>
      <c r="M328" s="12">
        <f t="shared" si="118"/>
        <v>30842.300000000745</v>
      </c>
      <c r="N328" s="12">
        <f t="shared" si="119"/>
        <v>120522.5</v>
      </c>
      <c r="O328" s="13">
        <f t="shared" si="123"/>
        <v>169767.6799999997</v>
      </c>
      <c r="P328" s="13">
        <f t="shared" si="124"/>
        <v>290290.1799999997</v>
      </c>
      <c r="Q328" s="14"/>
      <c r="R328" s="14"/>
      <c r="S328" s="15"/>
      <c r="T328" s="16" t="e">
        <f>#REF!-#REF!</f>
        <v>#REF!</v>
      </c>
      <c r="W328" s="18"/>
      <c r="X328" s="18"/>
      <c r="AA328" s="19"/>
    </row>
    <row r="329" spans="1:27" s="17" customFormat="1" ht="18" customHeight="1" x14ac:dyDescent="0.2">
      <c r="A329" s="9" t="s">
        <v>16</v>
      </c>
      <c r="B329" s="76" t="s">
        <v>465</v>
      </c>
      <c r="C329" s="63"/>
      <c r="D329" s="63"/>
      <c r="E329" s="66"/>
      <c r="F329" s="22"/>
      <c r="G329" s="109">
        <f t="shared" ref="G329:K329" si="126">G330+G340</f>
        <v>47300</v>
      </c>
      <c r="H329" s="109">
        <f t="shared" si="126"/>
        <v>36000</v>
      </c>
      <c r="I329" s="109">
        <f t="shared" si="126"/>
        <v>32600</v>
      </c>
      <c r="J329" s="109">
        <f t="shared" si="126"/>
        <v>32600</v>
      </c>
      <c r="K329" s="109">
        <f t="shared" si="126"/>
        <v>31743.54</v>
      </c>
      <c r="L329" s="109">
        <f>L330+L340</f>
        <v>45115.28</v>
      </c>
      <c r="M329" s="12">
        <f t="shared" si="118"/>
        <v>0</v>
      </c>
      <c r="N329" s="12">
        <f t="shared" si="119"/>
        <v>-14700</v>
      </c>
      <c r="O329" s="13">
        <f t="shared" si="123"/>
        <v>-856.45999999999913</v>
      </c>
      <c r="P329" s="13">
        <f t="shared" si="124"/>
        <v>-15556.46</v>
      </c>
      <c r="Q329" s="14"/>
      <c r="R329" s="14"/>
      <c r="S329" s="15"/>
      <c r="T329" s="16" t="e">
        <f>#REF!-#REF!</f>
        <v>#REF!</v>
      </c>
      <c r="W329" s="18"/>
      <c r="X329" s="18"/>
      <c r="AA329" s="19"/>
    </row>
    <row r="330" spans="1:27" s="17" customFormat="1" ht="18" customHeight="1" x14ac:dyDescent="0.2">
      <c r="A330" s="20" t="s">
        <v>16</v>
      </c>
      <c r="B330" s="21"/>
      <c r="C330" s="63" t="s">
        <v>466</v>
      </c>
      <c r="D330" s="63"/>
      <c r="E330" s="66"/>
      <c r="F330" s="22"/>
      <c r="G330" s="11">
        <f t="shared" ref="G330:K330" si="127">G331</f>
        <v>47300</v>
      </c>
      <c r="H330" s="11">
        <f t="shared" si="127"/>
        <v>36000</v>
      </c>
      <c r="I330" s="11">
        <f t="shared" si="127"/>
        <v>32600</v>
      </c>
      <c r="J330" s="11">
        <f t="shared" si="127"/>
        <v>32600</v>
      </c>
      <c r="K330" s="11">
        <f t="shared" si="127"/>
        <v>31743.54</v>
      </c>
      <c r="L330" s="11">
        <f>L331</f>
        <v>45301.03</v>
      </c>
      <c r="M330" s="12">
        <f t="shared" si="118"/>
        <v>0</v>
      </c>
      <c r="N330" s="12">
        <f t="shared" si="119"/>
        <v>-14700</v>
      </c>
      <c r="O330" s="13">
        <f t="shared" si="123"/>
        <v>-856.45999999999913</v>
      </c>
      <c r="P330" s="13">
        <f t="shared" si="124"/>
        <v>-15556.46</v>
      </c>
      <c r="Q330" s="14"/>
      <c r="R330" s="14"/>
      <c r="S330" s="15"/>
      <c r="T330" s="16" t="e">
        <f>#REF!-#REF!</f>
        <v>#REF!</v>
      </c>
      <c r="W330" s="18"/>
      <c r="X330" s="18"/>
      <c r="AA330" s="19"/>
    </row>
    <row r="331" spans="1:27" s="17" customFormat="1" ht="18" customHeight="1" x14ac:dyDescent="0.2">
      <c r="A331" s="20" t="s">
        <v>16</v>
      </c>
      <c r="B331" s="48"/>
      <c r="C331" s="49"/>
      <c r="D331" s="49" t="s">
        <v>467</v>
      </c>
      <c r="E331" s="57"/>
      <c r="F331" s="58"/>
      <c r="G331" s="28">
        <f t="shared" ref="G331:K331" si="128">G334</f>
        <v>47300</v>
      </c>
      <c r="H331" s="28">
        <f t="shared" si="128"/>
        <v>36000</v>
      </c>
      <c r="I331" s="28">
        <f t="shared" si="128"/>
        <v>32600</v>
      </c>
      <c r="J331" s="28">
        <f t="shared" si="128"/>
        <v>32600</v>
      </c>
      <c r="K331" s="28">
        <f t="shared" si="128"/>
        <v>31743.54</v>
      </c>
      <c r="L331" s="28">
        <f>L334</f>
        <v>45301.03</v>
      </c>
      <c r="M331" s="12">
        <f t="shared" si="118"/>
        <v>0</v>
      </c>
      <c r="N331" s="12">
        <f t="shared" si="119"/>
        <v>-14700</v>
      </c>
      <c r="O331" s="13">
        <f t="shared" si="123"/>
        <v>-856.45999999999913</v>
      </c>
      <c r="P331" s="13">
        <f t="shared" si="124"/>
        <v>-15556.46</v>
      </c>
      <c r="Q331" s="14"/>
      <c r="R331" s="14"/>
      <c r="S331" s="15"/>
      <c r="T331" s="16" t="e">
        <f>#REF!-#REF!</f>
        <v>#REF!</v>
      </c>
      <c r="W331" s="18"/>
      <c r="X331" s="18"/>
      <c r="AA331" s="19"/>
    </row>
    <row r="332" spans="1:27" s="43" customFormat="1" ht="18" hidden="1" customHeight="1" x14ac:dyDescent="0.2">
      <c r="A332" s="53" t="s">
        <v>16</v>
      </c>
      <c r="B332" s="54"/>
      <c r="C332" s="55"/>
      <c r="D332" s="49"/>
      <c r="E332" s="52" t="s">
        <v>468</v>
      </c>
      <c r="F332" s="59"/>
      <c r="G332" s="15"/>
      <c r="H332" s="15"/>
      <c r="I332" s="15"/>
      <c r="J332" s="15"/>
      <c r="K332" s="15"/>
      <c r="L332" s="15"/>
      <c r="M332" s="12">
        <f t="shared" si="118"/>
        <v>0</v>
      </c>
      <c r="N332" s="12">
        <f t="shared" si="119"/>
        <v>0</v>
      </c>
      <c r="O332" s="13">
        <f t="shared" si="123"/>
        <v>0</v>
      </c>
      <c r="P332" s="13">
        <f t="shared" si="124"/>
        <v>0</v>
      </c>
      <c r="Q332" s="14"/>
      <c r="R332" s="14"/>
      <c r="S332" s="15"/>
      <c r="T332" s="16" t="e">
        <f>#REF!-#REF!</f>
        <v>#REF!</v>
      </c>
      <c r="W332" s="44"/>
      <c r="X332" s="44"/>
      <c r="AA332" s="19"/>
    </row>
    <row r="333" spans="1:27" s="43" customFormat="1" ht="18" hidden="1" customHeight="1" x14ac:dyDescent="0.2">
      <c r="A333" s="53" t="s">
        <v>16</v>
      </c>
      <c r="B333" s="54"/>
      <c r="C333" s="55"/>
      <c r="D333" s="49"/>
      <c r="E333" s="52"/>
      <c r="F333" s="65" t="s">
        <v>469</v>
      </c>
      <c r="G333" s="60"/>
      <c r="H333" s="60"/>
      <c r="I333" s="60"/>
      <c r="J333" s="60"/>
      <c r="K333" s="60"/>
      <c r="L333" s="60"/>
      <c r="M333" s="12">
        <f t="shared" si="118"/>
        <v>0</v>
      </c>
      <c r="N333" s="12">
        <f t="shared" si="119"/>
        <v>0</v>
      </c>
      <c r="O333" s="13">
        <f t="shared" si="123"/>
        <v>0</v>
      </c>
      <c r="P333" s="13">
        <f t="shared" si="124"/>
        <v>0</v>
      </c>
      <c r="Q333" s="14"/>
      <c r="R333" s="14"/>
      <c r="S333" s="15"/>
      <c r="T333" s="16" t="e">
        <f>#REF!-#REF!</f>
        <v>#REF!</v>
      </c>
      <c r="W333" s="44"/>
      <c r="X333" s="44"/>
      <c r="AA333" s="19"/>
    </row>
    <row r="334" spans="1:27" s="33" customFormat="1" ht="18" customHeight="1" x14ac:dyDescent="0.2">
      <c r="A334" s="50" t="s">
        <v>16</v>
      </c>
      <c r="B334" s="51"/>
      <c r="C334" s="52"/>
      <c r="D334" s="57"/>
      <c r="E334" s="52" t="s">
        <v>467</v>
      </c>
      <c r="F334" s="59"/>
      <c r="G334" s="15">
        <f t="shared" ref="G334:K334" si="129">G335</f>
        <v>47300</v>
      </c>
      <c r="H334" s="15">
        <f t="shared" si="129"/>
        <v>36000</v>
      </c>
      <c r="I334" s="15">
        <f t="shared" si="129"/>
        <v>32600</v>
      </c>
      <c r="J334" s="15">
        <f t="shared" si="129"/>
        <v>32600</v>
      </c>
      <c r="K334" s="15">
        <f t="shared" si="129"/>
        <v>31743.54</v>
      </c>
      <c r="L334" s="15">
        <f>L335</f>
        <v>45301.03</v>
      </c>
      <c r="M334" s="12">
        <f t="shared" si="118"/>
        <v>0</v>
      </c>
      <c r="N334" s="12">
        <f t="shared" si="119"/>
        <v>-14700</v>
      </c>
      <c r="O334" s="13">
        <f t="shared" si="123"/>
        <v>-856.45999999999913</v>
      </c>
      <c r="P334" s="13">
        <f t="shared" si="124"/>
        <v>-15556.46</v>
      </c>
      <c r="Q334" s="14"/>
      <c r="R334" s="14"/>
      <c r="S334" s="15"/>
      <c r="T334" s="16" t="e">
        <f>#REF!-#REF!</f>
        <v>#REF!</v>
      </c>
      <c r="W334" s="34"/>
      <c r="X334" s="34"/>
      <c r="AA334" s="19"/>
    </row>
    <row r="335" spans="1:27" s="43" customFormat="1" ht="18" customHeight="1" x14ac:dyDescent="0.2">
      <c r="A335" s="53" t="s">
        <v>16</v>
      </c>
      <c r="B335" s="54"/>
      <c r="C335" s="55"/>
      <c r="D335" s="49"/>
      <c r="E335" s="52"/>
      <c r="F335" s="65" t="s">
        <v>470</v>
      </c>
      <c r="G335" s="39">
        <v>47300</v>
      </c>
      <c r="H335" s="39">
        <f>FLOOR(18029.75*2,100)</f>
        <v>36000</v>
      </c>
      <c r="I335" s="39">
        <f>FLOOR(24499.4/3*4,100)</f>
        <v>32600</v>
      </c>
      <c r="J335" s="39">
        <f>FLOOR(24499.4/3*4,100)</f>
        <v>32600</v>
      </c>
      <c r="K335" s="39">
        <v>31743.54</v>
      </c>
      <c r="L335" s="39">
        <v>45301.03</v>
      </c>
      <c r="M335" s="12">
        <f t="shared" si="118"/>
        <v>0</v>
      </c>
      <c r="N335" s="12">
        <f t="shared" si="119"/>
        <v>-14700</v>
      </c>
      <c r="O335" s="13">
        <f t="shared" si="123"/>
        <v>-856.45999999999913</v>
      </c>
      <c r="P335" s="13">
        <f t="shared" si="124"/>
        <v>-15556.46</v>
      </c>
      <c r="Q335" s="46"/>
      <c r="R335" s="45" t="s">
        <v>471</v>
      </c>
      <c r="S335" s="15" t="s">
        <v>472</v>
      </c>
      <c r="T335" s="16" t="e">
        <f>#REF!-#REF!</f>
        <v>#REF!</v>
      </c>
      <c r="W335" s="44"/>
      <c r="X335" s="44"/>
      <c r="AA335" s="19"/>
    </row>
    <row r="336" spans="1:27" s="43" customFormat="1" ht="18" hidden="1" customHeight="1" x14ac:dyDescent="0.2">
      <c r="A336" s="53" t="s">
        <v>16</v>
      </c>
      <c r="B336" s="54"/>
      <c r="C336" s="55"/>
      <c r="D336" s="49"/>
      <c r="E336" s="52"/>
      <c r="F336" s="65" t="s">
        <v>473</v>
      </c>
      <c r="G336" s="110"/>
      <c r="H336" s="110"/>
      <c r="I336" s="110"/>
      <c r="J336" s="110"/>
      <c r="K336" s="110"/>
      <c r="L336" s="110"/>
      <c r="M336" s="12">
        <f t="shared" si="118"/>
        <v>0</v>
      </c>
      <c r="N336" s="12">
        <f t="shared" si="119"/>
        <v>0</v>
      </c>
      <c r="O336" s="13">
        <f t="shared" si="123"/>
        <v>0</v>
      </c>
      <c r="P336" s="13">
        <f t="shared" si="124"/>
        <v>0</v>
      </c>
      <c r="Q336" s="14"/>
      <c r="R336" s="14"/>
      <c r="S336" s="15"/>
      <c r="T336" s="16" t="e">
        <f>#REF!-#REF!</f>
        <v>#REF!</v>
      </c>
      <c r="W336" s="44"/>
      <c r="X336" s="44"/>
      <c r="AA336" s="19"/>
    </row>
    <row r="337" spans="1:27" s="43" customFormat="1" ht="18" hidden="1" customHeight="1" x14ac:dyDescent="0.2">
      <c r="A337" s="53" t="s">
        <v>16</v>
      </c>
      <c r="B337" s="54"/>
      <c r="C337" s="55"/>
      <c r="D337" s="49"/>
      <c r="E337" s="52"/>
      <c r="F337" s="65" t="s">
        <v>474</v>
      </c>
      <c r="G337" s="62"/>
      <c r="H337" s="62"/>
      <c r="I337" s="62"/>
      <c r="J337" s="62"/>
      <c r="K337" s="62"/>
      <c r="L337" s="62"/>
      <c r="M337" s="12">
        <f t="shared" si="118"/>
        <v>0</v>
      </c>
      <c r="N337" s="12">
        <f t="shared" si="119"/>
        <v>0</v>
      </c>
      <c r="O337" s="13">
        <f t="shared" si="123"/>
        <v>0</v>
      </c>
      <c r="P337" s="13">
        <f t="shared" si="124"/>
        <v>0</v>
      </c>
      <c r="Q337" s="14"/>
      <c r="R337" s="14"/>
      <c r="S337" s="15"/>
      <c r="T337" s="16" t="e">
        <f>#REF!-#REF!</f>
        <v>#REF!</v>
      </c>
      <c r="W337" s="44"/>
      <c r="X337" s="44"/>
      <c r="AA337" s="19"/>
    </row>
    <row r="338" spans="1:27" s="43" customFormat="1" ht="18" hidden="1" customHeight="1" x14ac:dyDescent="0.2">
      <c r="A338" s="53" t="s">
        <v>16</v>
      </c>
      <c r="B338" s="54"/>
      <c r="C338" s="55"/>
      <c r="D338" s="49"/>
      <c r="E338" s="52"/>
      <c r="F338" s="65" t="s">
        <v>475</v>
      </c>
      <c r="G338" s="62"/>
      <c r="H338" s="62"/>
      <c r="I338" s="62"/>
      <c r="J338" s="62"/>
      <c r="K338" s="62"/>
      <c r="L338" s="62"/>
      <c r="M338" s="12">
        <f t="shared" si="118"/>
        <v>0</v>
      </c>
      <c r="N338" s="12">
        <f t="shared" si="119"/>
        <v>0</v>
      </c>
      <c r="O338" s="13">
        <f t="shared" si="123"/>
        <v>0</v>
      </c>
      <c r="P338" s="13">
        <f t="shared" si="124"/>
        <v>0</v>
      </c>
      <c r="Q338" s="14"/>
      <c r="R338" s="14"/>
      <c r="S338" s="15"/>
      <c r="T338" s="16" t="e">
        <f>#REF!-#REF!</f>
        <v>#REF!</v>
      </c>
      <c r="W338" s="44"/>
      <c r="X338" s="44"/>
      <c r="AA338" s="19"/>
    </row>
    <row r="339" spans="1:27" s="43" customFormat="1" ht="18" hidden="1" customHeight="1" x14ac:dyDescent="0.2">
      <c r="A339" s="53" t="s">
        <v>16</v>
      </c>
      <c r="B339" s="54"/>
      <c r="C339" s="55"/>
      <c r="D339" s="49"/>
      <c r="E339" s="52"/>
      <c r="F339" s="65" t="s">
        <v>476</v>
      </c>
      <c r="G339" s="62"/>
      <c r="H339" s="62"/>
      <c r="I339" s="62"/>
      <c r="J339" s="62"/>
      <c r="K339" s="62"/>
      <c r="L339" s="62"/>
      <c r="M339" s="12">
        <f t="shared" si="118"/>
        <v>0</v>
      </c>
      <c r="N339" s="12">
        <f t="shared" si="119"/>
        <v>0</v>
      </c>
      <c r="O339" s="13">
        <f t="shared" si="123"/>
        <v>0</v>
      </c>
      <c r="P339" s="13">
        <f t="shared" si="124"/>
        <v>0</v>
      </c>
      <c r="Q339" s="14"/>
      <c r="R339" s="14"/>
      <c r="S339" s="15"/>
      <c r="T339" s="16" t="e">
        <f>#REF!-#REF!</f>
        <v>#REF!</v>
      </c>
      <c r="W339" s="44"/>
      <c r="X339" s="44"/>
      <c r="AA339" s="19"/>
    </row>
    <row r="340" spans="1:27" s="17" customFormat="1" ht="18" customHeight="1" x14ac:dyDescent="0.2">
      <c r="A340" s="53" t="s">
        <v>16</v>
      </c>
      <c r="B340" s="21"/>
      <c r="C340" s="63" t="s">
        <v>477</v>
      </c>
      <c r="D340" s="63"/>
      <c r="E340" s="64"/>
      <c r="F340" s="22"/>
      <c r="G340" s="109">
        <f t="shared" ref="G340:I340" si="130">G341</f>
        <v>0</v>
      </c>
      <c r="H340" s="109">
        <f t="shared" si="130"/>
        <v>0</v>
      </c>
      <c r="I340" s="109">
        <f t="shared" si="130"/>
        <v>0</v>
      </c>
      <c r="J340" s="109"/>
      <c r="K340" s="109">
        <f>K341</f>
        <v>0</v>
      </c>
      <c r="L340" s="109">
        <f>L341</f>
        <v>-185.75</v>
      </c>
      <c r="M340" s="12">
        <f t="shared" si="118"/>
        <v>0</v>
      </c>
      <c r="N340" s="12">
        <f t="shared" si="119"/>
        <v>0</v>
      </c>
      <c r="O340" s="13">
        <f t="shared" si="123"/>
        <v>0</v>
      </c>
      <c r="P340" s="13">
        <f t="shared" si="124"/>
        <v>0</v>
      </c>
      <c r="Q340" s="14"/>
      <c r="R340" s="14"/>
      <c r="S340" s="15"/>
      <c r="T340" s="16" t="e">
        <f>#REF!-#REF!</f>
        <v>#REF!</v>
      </c>
      <c r="W340" s="18"/>
      <c r="X340" s="18"/>
      <c r="AA340" s="19"/>
    </row>
    <row r="341" spans="1:27" s="43" customFormat="1" ht="18" customHeight="1" x14ac:dyDescent="0.2">
      <c r="A341" s="20" t="s">
        <v>16</v>
      </c>
      <c r="B341" s="48"/>
      <c r="C341" s="49"/>
      <c r="D341" s="49" t="s">
        <v>478</v>
      </c>
      <c r="E341" s="57"/>
      <c r="F341" s="58"/>
      <c r="G341" s="15">
        <f t="shared" ref="G341:I341" si="131">G346</f>
        <v>0</v>
      </c>
      <c r="H341" s="15">
        <f t="shared" si="131"/>
        <v>0</v>
      </c>
      <c r="I341" s="15">
        <f t="shared" si="131"/>
        <v>0</v>
      </c>
      <c r="J341" s="15"/>
      <c r="K341" s="15">
        <f>K346</f>
        <v>0</v>
      </c>
      <c r="L341" s="15">
        <f>L346</f>
        <v>-185.75</v>
      </c>
      <c r="M341" s="12">
        <f t="shared" si="118"/>
        <v>0</v>
      </c>
      <c r="N341" s="12">
        <f t="shared" si="119"/>
        <v>0</v>
      </c>
      <c r="O341" s="13">
        <f t="shared" si="123"/>
        <v>0</v>
      </c>
      <c r="P341" s="13">
        <f t="shared" si="124"/>
        <v>0</v>
      </c>
      <c r="Q341" s="14"/>
      <c r="R341" s="14"/>
      <c r="S341" s="15"/>
      <c r="T341" s="16" t="e">
        <f>#REF!-#REF!</f>
        <v>#REF!</v>
      </c>
      <c r="W341" s="44"/>
      <c r="X341" s="44"/>
      <c r="AA341" s="19"/>
    </row>
    <row r="342" spans="1:27" s="43" customFormat="1" ht="18" hidden="1" customHeight="1" x14ac:dyDescent="0.2">
      <c r="A342" s="53" t="s">
        <v>16</v>
      </c>
      <c r="B342" s="54"/>
      <c r="C342" s="55"/>
      <c r="D342" s="49"/>
      <c r="E342" s="52" t="s">
        <v>479</v>
      </c>
      <c r="F342" s="59"/>
      <c r="G342" s="15"/>
      <c r="H342" s="15"/>
      <c r="I342" s="15"/>
      <c r="J342" s="15"/>
      <c r="K342" s="15"/>
      <c r="L342" s="15"/>
      <c r="M342" s="12">
        <f t="shared" si="118"/>
        <v>0</v>
      </c>
      <c r="N342" s="12">
        <f t="shared" si="119"/>
        <v>0</v>
      </c>
      <c r="O342" s="13">
        <f t="shared" si="123"/>
        <v>0</v>
      </c>
      <c r="P342" s="13">
        <f t="shared" si="124"/>
        <v>0</v>
      </c>
      <c r="Q342" s="14"/>
      <c r="R342" s="14"/>
      <c r="S342" s="15"/>
      <c r="T342" s="16" t="e">
        <f>#REF!-#REF!</f>
        <v>#REF!</v>
      </c>
      <c r="W342" s="44"/>
      <c r="X342" s="44"/>
      <c r="AA342" s="19"/>
    </row>
    <row r="343" spans="1:27" s="43" customFormat="1" ht="18" hidden="1" customHeight="1" x14ac:dyDescent="0.2">
      <c r="A343" s="53" t="s">
        <v>16</v>
      </c>
      <c r="B343" s="54"/>
      <c r="C343" s="55"/>
      <c r="D343" s="49"/>
      <c r="E343" s="52"/>
      <c r="F343" s="65" t="s">
        <v>479</v>
      </c>
      <c r="G343" s="15"/>
      <c r="H343" s="15"/>
      <c r="I343" s="15"/>
      <c r="J343" s="15"/>
      <c r="K343" s="15"/>
      <c r="L343" s="15"/>
      <c r="M343" s="12">
        <f t="shared" si="118"/>
        <v>0</v>
      </c>
      <c r="N343" s="12">
        <f t="shared" si="119"/>
        <v>0</v>
      </c>
      <c r="O343" s="13">
        <f t="shared" si="123"/>
        <v>0</v>
      </c>
      <c r="P343" s="13">
        <f t="shared" si="124"/>
        <v>0</v>
      </c>
      <c r="Q343" s="14"/>
      <c r="R343" s="14"/>
      <c r="S343" s="15"/>
      <c r="T343" s="16" t="e">
        <f>#REF!-#REF!</f>
        <v>#REF!</v>
      </c>
      <c r="W343" s="44"/>
      <c r="X343" s="44"/>
      <c r="AA343" s="19"/>
    </row>
    <row r="344" spans="1:27" s="43" customFormat="1" ht="18" hidden="1" customHeight="1" x14ac:dyDescent="0.2">
      <c r="A344" s="53" t="s">
        <v>16</v>
      </c>
      <c r="B344" s="54"/>
      <c r="C344" s="55"/>
      <c r="D344" s="49"/>
      <c r="E344" s="52" t="s">
        <v>480</v>
      </c>
      <c r="F344" s="59"/>
      <c r="G344" s="15"/>
      <c r="H344" s="15"/>
      <c r="I344" s="15"/>
      <c r="J344" s="15"/>
      <c r="K344" s="15"/>
      <c r="L344" s="15"/>
      <c r="M344" s="12">
        <f t="shared" si="118"/>
        <v>0</v>
      </c>
      <c r="N344" s="12">
        <f t="shared" si="119"/>
        <v>0</v>
      </c>
      <c r="O344" s="13">
        <f t="shared" si="123"/>
        <v>0</v>
      </c>
      <c r="P344" s="13">
        <f t="shared" si="124"/>
        <v>0</v>
      </c>
      <c r="Q344" s="14"/>
      <c r="R344" s="14"/>
      <c r="S344" s="15"/>
      <c r="T344" s="16" t="e">
        <f>#REF!-#REF!</f>
        <v>#REF!</v>
      </c>
      <c r="W344" s="44"/>
      <c r="X344" s="44"/>
      <c r="AA344" s="19"/>
    </row>
    <row r="345" spans="1:27" s="43" customFormat="1" ht="18" hidden="1" customHeight="1" x14ac:dyDescent="0.2">
      <c r="A345" s="53" t="s">
        <v>16</v>
      </c>
      <c r="B345" s="54"/>
      <c r="C345" s="55"/>
      <c r="D345" s="49"/>
      <c r="E345" s="52"/>
      <c r="F345" s="65" t="s">
        <v>480</v>
      </c>
      <c r="G345" s="15"/>
      <c r="H345" s="15"/>
      <c r="I345" s="15"/>
      <c r="J345" s="15"/>
      <c r="K345" s="15"/>
      <c r="L345" s="15"/>
      <c r="M345" s="12">
        <f t="shared" si="118"/>
        <v>0</v>
      </c>
      <c r="N345" s="12">
        <f t="shared" si="119"/>
        <v>0</v>
      </c>
      <c r="O345" s="13">
        <f t="shared" si="123"/>
        <v>0</v>
      </c>
      <c r="P345" s="13">
        <f t="shared" si="124"/>
        <v>0</v>
      </c>
      <c r="Q345" s="14"/>
      <c r="R345" s="14"/>
      <c r="S345" s="15"/>
      <c r="T345" s="16" t="e">
        <f>#REF!-#REF!</f>
        <v>#REF!</v>
      </c>
      <c r="W345" s="44"/>
      <c r="X345" s="44"/>
      <c r="AA345" s="19"/>
    </row>
    <row r="346" spans="1:27" s="43" customFormat="1" ht="18" customHeight="1" x14ac:dyDescent="0.2">
      <c r="A346" s="53" t="s">
        <v>16</v>
      </c>
      <c r="B346" s="54"/>
      <c r="C346" s="55"/>
      <c r="D346" s="49"/>
      <c r="E346" s="52" t="s">
        <v>481</v>
      </c>
      <c r="F346" s="59"/>
      <c r="G346" s="15">
        <f t="shared" ref="G346:I346" si="132">SUM(G347:G348)</f>
        <v>0</v>
      </c>
      <c r="H346" s="15">
        <f t="shared" si="132"/>
        <v>0</v>
      </c>
      <c r="I346" s="15">
        <f t="shared" si="132"/>
        <v>0</v>
      </c>
      <c r="J346" s="15"/>
      <c r="K346" s="15">
        <f>SUM(K347:K348)</f>
        <v>0</v>
      </c>
      <c r="L346" s="15">
        <f>SUM(L347:L348)</f>
        <v>-185.75</v>
      </c>
      <c r="M346" s="12">
        <f t="shared" si="118"/>
        <v>0</v>
      </c>
      <c r="N346" s="12">
        <f t="shared" si="119"/>
        <v>0</v>
      </c>
      <c r="O346" s="13">
        <f t="shared" si="123"/>
        <v>0</v>
      </c>
      <c r="P346" s="13">
        <f t="shared" si="124"/>
        <v>0</v>
      </c>
      <c r="Q346" s="14"/>
      <c r="R346" s="14"/>
      <c r="S346" s="15"/>
      <c r="T346" s="16" t="e">
        <f>#REF!-#REF!</f>
        <v>#REF!</v>
      </c>
      <c r="W346" s="44"/>
      <c r="X346" s="44"/>
      <c r="AA346" s="19"/>
    </row>
    <row r="347" spans="1:27" s="43" customFormat="1" ht="18" hidden="1" customHeight="1" x14ac:dyDescent="0.2">
      <c r="A347" s="53" t="s">
        <v>16</v>
      </c>
      <c r="B347" s="54"/>
      <c r="C347" s="55"/>
      <c r="D347" s="49"/>
      <c r="E347" s="52"/>
      <c r="F347" s="65" t="s">
        <v>482</v>
      </c>
      <c r="G347" s="15"/>
      <c r="H347" s="15"/>
      <c r="I347" s="15"/>
      <c r="J347" s="15"/>
      <c r="K347" s="15"/>
      <c r="L347" s="15"/>
      <c r="M347" s="12">
        <f t="shared" si="118"/>
        <v>0</v>
      </c>
      <c r="N347" s="12">
        <f t="shared" si="119"/>
        <v>0</v>
      </c>
      <c r="O347" s="13">
        <f t="shared" si="123"/>
        <v>0</v>
      </c>
      <c r="P347" s="13">
        <f t="shared" si="124"/>
        <v>0</v>
      </c>
      <c r="Q347" s="14"/>
      <c r="R347" s="14"/>
      <c r="S347" s="15"/>
      <c r="T347" s="16" t="e">
        <f>#REF!-#REF!</f>
        <v>#REF!</v>
      </c>
      <c r="W347" s="44"/>
      <c r="X347" s="44"/>
      <c r="AA347" s="19"/>
    </row>
    <row r="348" spans="1:27" s="43" customFormat="1" ht="18" customHeight="1" x14ac:dyDescent="0.2">
      <c r="A348" s="53" t="s">
        <v>16</v>
      </c>
      <c r="B348" s="54"/>
      <c r="C348" s="55"/>
      <c r="D348" s="49"/>
      <c r="E348" s="52"/>
      <c r="F348" s="65" t="s">
        <v>481</v>
      </c>
      <c r="G348" s="74">
        <v>0</v>
      </c>
      <c r="H348" s="74">
        <v>0</v>
      </c>
      <c r="I348" s="74"/>
      <c r="J348" s="74"/>
      <c r="K348" s="39">
        <v>0</v>
      </c>
      <c r="L348" s="39">
        <v>-185.75</v>
      </c>
      <c r="M348" s="12">
        <f t="shared" si="118"/>
        <v>0</v>
      </c>
      <c r="N348" s="12">
        <f t="shared" si="119"/>
        <v>0</v>
      </c>
      <c r="O348" s="13">
        <f t="shared" si="123"/>
        <v>0</v>
      </c>
      <c r="P348" s="13">
        <f t="shared" si="124"/>
        <v>0</v>
      </c>
      <c r="Q348" s="14"/>
      <c r="R348" s="45" t="s">
        <v>483</v>
      </c>
      <c r="S348" s="15"/>
      <c r="T348" s="16" t="e">
        <f>#REF!-#REF!</f>
        <v>#REF!</v>
      </c>
      <c r="W348" s="44"/>
      <c r="X348" s="44"/>
      <c r="AA348" s="19"/>
    </row>
    <row r="349" spans="1:27" s="43" customFormat="1" ht="18" hidden="1" customHeight="1" x14ac:dyDescent="0.2">
      <c r="A349" s="53" t="s">
        <v>16</v>
      </c>
      <c r="B349" s="54"/>
      <c r="C349" s="55"/>
      <c r="D349" s="49" t="s">
        <v>484</v>
      </c>
      <c r="E349" s="52"/>
      <c r="F349" s="58"/>
      <c r="G349" s="28"/>
      <c r="H349" s="28"/>
      <c r="I349" s="28"/>
      <c r="J349" s="28"/>
      <c r="K349" s="28"/>
      <c r="L349" s="28"/>
      <c r="M349" s="12">
        <f t="shared" si="118"/>
        <v>0</v>
      </c>
      <c r="N349" s="12">
        <f t="shared" si="119"/>
        <v>0</v>
      </c>
      <c r="O349" s="13">
        <f t="shared" si="123"/>
        <v>0</v>
      </c>
      <c r="P349" s="13">
        <f t="shared" si="124"/>
        <v>0</v>
      </c>
      <c r="Q349" s="14"/>
      <c r="R349" s="14"/>
      <c r="S349" s="15"/>
      <c r="T349" s="16" t="e">
        <f>#REF!-#REF!</f>
        <v>#REF!</v>
      </c>
      <c r="W349" s="44"/>
      <c r="X349" s="44"/>
      <c r="AA349" s="19"/>
    </row>
    <row r="350" spans="1:27" s="43" customFormat="1" ht="18" hidden="1" customHeight="1" x14ac:dyDescent="0.2">
      <c r="A350" s="53" t="s">
        <v>16</v>
      </c>
      <c r="B350" s="54"/>
      <c r="C350" s="55"/>
      <c r="D350" s="49"/>
      <c r="E350" s="52" t="s">
        <v>484</v>
      </c>
      <c r="F350" s="59"/>
      <c r="G350" s="15"/>
      <c r="H350" s="15"/>
      <c r="I350" s="15"/>
      <c r="J350" s="15"/>
      <c r="K350" s="15"/>
      <c r="L350" s="15"/>
      <c r="M350" s="12">
        <f t="shared" si="118"/>
        <v>0</v>
      </c>
      <c r="N350" s="12">
        <f t="shared" si="119"/>
        <v>0</v>
      </c>
      <c r="O350" s="13">
        <f t="shared" si="123"/>
        <v>0</v>
      </c>
      <c r="P350" s="13">
        <f t="shared" si="124"/>
        <v>0</v>
      </c>
      <c r="Q350" s="14"/>
      <c r="R350" s="14"/>
      <c r="S350" s="15"/>
      <c r="T350" s="16" t="e">
        <f>#REF!-#REF!</f>
        <v>#REF!</v>
      </c>
      <c r="W350" s="44"/>
      <c r="X350" s="44"/>
      <c r="AA350" s="19"/>
    </row>
    <row r="351" spans="1:27" s="43" customFormat="1" ht="18" hidden="1" customHeight="1" x14ac:dyDescent="0.2">
      <c r="A351" s="53" t="s">
        <v>16</v>
      </c>
      <c r="B351" s="54"/>
      <c r="C351" s="55"/>
      <c r="D351" s="49"/>
      <c r="E351" s="52"/>
      <c r="F351" s="65" t="s">
        <v>485</v>
      </c>
      <c r="G351" s="62"/>
      <c r="H351" s="62"/>
      <c r="I351" s="62"/>
      <c r="J351" s="62"/>
      <c r="K351" s="62"/>
      <c r="L351" s="62"/>
      <c r="M351" s="12">
        <f t="shared" si="118"/>
        <v>0</v>
      </c>
      <c r="N351" s="12">
        <f t="shared" si="119"/>
        <v>0</v>
      </c>
      <c r="O351" s="13">
        <f t="shared" si="123"/>
        <v>0</v>
      </c>
      <c r="P351" s="13">
        <f t="shared" si="124"/>
        <v>0</v>
      </c>
      <c r="Q351" s="14"/>
      <c r="R351" s="14"/>
      <c r="S351" s="15"/>
      <c r="T351" s="16" t="e">
        <f>#REF!-#REF!</f>
        <v>#REF!</v>
      </c>
      <c r="W351" s="44"/>
      <c r="X351" s="44"/>
      <c r="AA351" s="19"/>
    </row>
    <row r="352" spans="1:27" s="43" customFormat="1" ht="18" hidden="1" customHeight="1" x14ac:dyDescent="0.2">
      <c r="A352" s="53" t="s">
        <v>16</v>
      </c>
      <c r="B352" s="54"/>
      <c r="C352" s="55"/>
      <c r="D352" s="49"/>
      <c r="E352" s="52"/>
      <c r="F352" s="65" t="s">
        <v>486</v>
      </c>
      <c r="G352" s="62"/>
      <c r="H352" s="62"/>
      <c r="I352" s="62"/>
      <c r="J352" s="62"/>
      <c r="K352" s="62"/>
      <c r="L352" s="62"/>
      <c r="M352" s="12">
        <f t="shared" si="118"/>
        <v>0</v>
      </c>
      <c r="N352" s="12">
        <f t="shared" si="119"/>
        <v>0</v>
      </c>
      <c r="O352" s="13">
        <f t="shared" si="123"/>
        <v>0</v>
      </c>
      <c r="P352" s="13">
        <f t="shared" si="124"/>
        <v>0</v>
      </c>
      <c r="Q352" s="14"/>
      <c r="R352" s="14"/>
      <c r="S352" s="15"/>
      <c r="T352" s="16" t="e">
        <f>#REF!-#REF!</f>
        <v>#REF!</v>
      </c>
      <c r="W352" s="44"/>
      <c r="X352" s="44"/>
      <c r="AA352" s="19"/>
    </row>
    <row r="353" spans="1:27" s="17" customFormat="1" ht="18" customHeight="1" x14ac:dyDescent="0.2">
      <c r="A353" s="9"/>
      <c r="B353" s="76" t="s">
        <v>487</v>
      </c>
      <c r="C353" s="63"/>
      <c r="D353" s="63"/>
      <c r="E353" s="66"/>
      <c r="F353" s="22"/>
      <c r="G353" s="11">
        <f t="shared" ref="G353:K353" si="133">G328+G329</f>
        <v>-242300</v>
      </c>
      <c r="H353" s="11">
        <f t="shared" si="133"/>
        <v>-208250.75000000186</v>
      </c>
      <c r="I353" s="11">
        <f t="shared" si="133"/>
        <v>-167319.80000000075</v>
      </c>
      <c r="J353" s="11">
        <f t="shared" si="133"/>
        <v>-136477.5</v>
      </c>
      <c r="K353" s="11">
        <f t="shared" si="133"/>
        <v>32433.719999999703</v>
      </c>
      <c r="L353" s="11">
        <f>L328+L329</f>
        <v>18652.480000002979</v>
      </c>
      <c r="M353" s="12">
        <f t="shared" si="118"/>
        <v>30842.300000000745</v>
      </c>
      <c r="N353" s="12">
        <f t="shared" si="119"/>
        <v>105822.5</v>
      </c>
      <c r="O353" s="13">
        <f t="shared" si="123"/>
        <v>168911.21999999971</v>
      </c>
      <c r="P353" s="13">
        <f t="shared" si="124"/>
        <v>274733.71999999968</v>
      </c>
      <c r="Q353" s="14"/>
      <c r="R353" s="14"/>
      <c r="S353" s="15"/>
      <c r="T353" s="16" t="e">
        <f>#REF!-#REF!</f>
        <v>#REF!</v>
      </c>
      <c r="W353" s="18"/>
      <c r="X353" s="18"/>
      <c r="AA353" s="19"/>
    </row>
    <row r="354" spans="1:27" s="17" customFormat="1" ht="18" customHeight="1" x14ac:dyDescent="0.2">
      <c r="A354" s="9" t="s">
        <v>16</v>
      </c>
      <c r="B354" s="76" t="s">
        <v>488</v>
      </c>
      <c r="C354" s="63"/>
      <c r="D354" s="63"/>
      <c r="E354" s="66"/>
      <c r="F354" s="22"/>
      <c r="G354" s="11">
        <f t="shared" ref="G354:K357" si="134">G355</f>
        <v>-17400</v>
      </c>
      <c r="H354" s="11">
        <f t="shared" si="134"/>
        <v>-17600</v>
      </c>
      <c r="I354" s="11">
        <f t="shared" si="134"/>
        <v>-17600</v>
      </c>
      <c r="J354" s="11">
        <f t="shared" si="134"/>
        <v>-17600</v>
      </c>
      <c r="K354" s="11">
        <f t="shared" si="134"/>
        <v>-17596</v>
      </c>
      <c r="L354" s="11">
        <f>L355</f>
        <v>-17395</v>
      </c>
      <c r="M354" s="12">
        <f t="shared" si="118"/>
        <v>0</v>
      </c>
      <c r="N354" s="12">
        <f t="shared" si="119"/>
        <v>-200</v>
      </c>
      <c r="O354" s="13">
        <f t="shared" si="123"/>
        <v>4</v>
      </c>
      <c r="P354" s="13">
        <f t="shared" si="124"/>
        <v>-196</v>
      </c>
      <c r="Q354" s="14"/>
      <c r="R354" s="14"/>
      <c r="S354" s="15"/>
      <c r="T354" s="16" t="e">
        <f>#REF!-#REF!</f>
        <v>#REF!</v>
      </c>
      <c r="W354" s="18"/>
      <c r="X354" s="18"/>
      <c r="AA354" s="19"/>
    </row>
    <row r="355" spans="1:27" s="17" customFormat="1" ht="18" customHeight="1" x14ac:dyDescent="0.2">
      <c r="A355" s="20" t="s">
        <v>16</v>
      </c>
      <c r="B355" s="21"/>
      <c r="C355" s="63" t="s">
        <v>489</v>
      </c>
      <c r="D355" s="63"/>
      <c r="E355" s="66"/>
      <c r="F355" s="22"/>
      <c r="G355" s="11">
        <f t="shared" si="134"/>
        <v>-17400</v>
      </c>
      <c r="H355" s="11">
        <f t="shared" si="134"/>
        <v>-17600</v>
      </c>
      <c r="I355" s="11">
        <f t="shared" si="134"/>
        <v>-17600</v>
      </c>
      <c r="J355" s="11">
        <f t="shared" si="134"/>
        <v>-17600</v>
      </c>
      <c r="K355" s="11">
        <f t="shared" si="134"/>
        <v>-17596</v>
      </c>
      <c r="L355" s="11">
        <f>L356</f>
        <v>-17395</v>
      </c>
      <c r="M355" s="12">
        <f t="shared" si="118"/>
        <v>0</v>
      </c>
      <c r="N355" s="12">
        <f t="shared" si="119"/>
        <v>-200</v>
      </c>
      <c r="O355" s="13">
        <f t="shared" si="123"/>
        <v>4</v>
      </c>
      <c r="P355" s="13">
        <f t="shared" si="124"/>
        <v>-196</v>
      </c>
      <c r="Q355" s="14"/>
      <c r="R355" s="14"/>
      <c r="S355" s="15"/>
      <c r="T355" s="16" t="e">
        <f>#REF!-#REF!</f>
        <v>#REF!</v>
      </c>
      <c r="W355" s="18"/>
      <c r="X355" s="18"/>
      <c r="AA355" s="19"/>
    </row>
    <row r="356" spans="1:27" s="43" customFormat="1" ht="18" customHeight="1" x14ac:dyDescent="0.2">
      <c r="A356" s="20" t="s">
        <v>16</v>
      </c>
      <c r="B356" s="48"/>
      <c r="C356" s="49"/>
      <c r="D356" s="49" t="s">
        <v>489</v>
      </c>
      <c r="E356" s="57"/>
      <c r="F356" s="58"/>
      <c r="G356" s="28">
        <f t="shared" si="134"/>
        <v>-17400</v>
      </c>
      <c r="H356" s="28">
        <f t="shared" si="134"/>
        <v>-17600</v>
      </c>
      <c r="I356" s="28">
        <f t="shared" si="134"/>
        <v>-17600</v>
      </c>
      <c r="J356" s="28">
        <f t="shared" si="134"/>
        <v>-17600</v>
      </c>
      <c r="K356" s="28">
        <f t="shared" si="134"/>
        <v>-17596</v>
      </c>
      <c r="L356" s="28">
        <f>L357</f>
        <v>-17395</v>
      </c>
      <c r="M356" s="12">
        <f t="shared" si="118"/>
        <v>0</v>
      </c>
      <c r="N356" s="12">
        <f t="shared" si="119"/>
        <v>-200</v>
      </c>
      <c r="O356" s="13">
        <f t="shared" si="123"/>
        <v>4</v>
      </c>
      <c r="P356" s="13">
        <f t="shared" si="124"/>
        <v>-196</v>
      </c>
      <c r="Q356" s="14"/>
      <c r="R356" s="14"/>
      <c r="S356" s="15"/>
      <c r="T356" s="16" t="e">
        <f>#REF!-#REF!</f>
        <v>#REF!</v>
      </c>
      <c r="W356" s="44"/>
      <c r="X356" s="44"/>
      <c r="AA356" s="19"/>
    </row>
    <row r="357" spans="1:27" s="33" customFormat="1" ht="18" customHeight="1" x14ac:dyDescent="0.2">
      <c r="A357" s="50" t="s">
        <v>16</v>
      </c>
      <c r="B357" s="51"/>
      <c r="C357" s="52"/>
      <c r="D357" s="57"/>
      <c r="E357" s="52" t="s">
        <v>490</v>
      </c>
      <c r="F357" s="59"/>
      <c r="G357" s="15">
        <f t="shared" si="134"/>
        <v>-17400</v>
      </c>
      <c r="H357" s="15">
        <f t="shared" si="134"/>
        <v>-17600</v>
      </c>
      <c r="I357" s="15">
        <f t="shared" si="134"/>
        <v>-17600</v>
      </c>
      <c r="J357" s="15">
        <f t="shared" si="134"/>
        <v>-17600</v>
      </c>
      <c r="K357" s="15">
        <f t="shared" si="134"/>
        <v>-17596</v>
      </c>
      <c r="L357" s="15">
        <f>L358</f>
        <v>-17395</v>
      </c>
      <c r="M357" s="12">
        <f t="shared" si="118"/>
        <v>0</v>
      </c>
      <c r="N357" s="12">
        <f t="shared" si="119"/>
        <v>-200</v>
      </c>
      <c r="O357" s="13">
        <f t="shared" si="123"/>
        <v>4</v>
      </c>
      <c r="P357" s="13">
        <f t="shared" si="124"/>
        <v>-196</v>
      </c>
      <c r="Q357" s="14"/>
      <c r="R357" s="14"/>
      <c r="S357" s="15"/>
      <c r="T357" s="16" t="e">
        <f>#REF!-#REF!</f>
        <v>#REF!</v>
      </c>
      <c r="W357" s="34"/>
      <c r="X357" s="34"/>
      <c r="AA357" s="19"/>
    </row>
    <row r="358" spans="1:27" s="43" customFormat="1" ht="18" customHeight="1" x14ac:dyDescent="0.2">
      <c r="A358" s="53" t="s">
        <v>16</v>
      </c>
      <c r="B358" s="54"/>
      <c r="C358" s="55"/>
      <c r="D358" s="49"/>
      <c r="E358" s="52"/>
      <c r="F358" s="65" t="s">
        <v>490</v>
      </c>
      <c r="G358" s="39">
        <v>-17400</v>
      </c>
      <c r="H358" s="39">
        <v>-17600</v>
      </c>
      <c r="I358" s="39">
        <f>H358</f>
        <v>-17600</v>
      </c>
      <c r="J358" s="39">
        <f>I358</f>
        <v>-17600</v>
      </c>
      <c r="K358" s="39">
        <v>-17596</v>
      </c>
      <c r="L358" s="39">
        <v>-17395</v>
      </c>
      <c r="M358" s="12">
        <f t="shared" si="118"/>
        <v>0</v>
      </c>
      <c r="N358" s="12">
        <f t="shared" si="119"/>
        <v>-200</v>
      </c>
      <c r="O358" s="13">
        <f t="shared" si="123"/>
        <v>4</v>
      </c>
      <c r="P358" s="13">
        <f t="shared" si="124"/>
        <v>-196</v>
      </c>
      <c r="Q358" s="45" t="s">
        <v>330</v>
      </c>
      <c r="R358" s="14"/>
      <c r="S358" s="15"/>
      <c r="T358" s="16" t="e">
        <f>#REF!-#REF!</f>
        <v>#REF!</v>
      </c>
      <c r="W358" s="44"/>
      <c r="X358" s="44"/>
      <c r="AA358" s="19"/>
    </row>
    <row r="359" spans="1:27" s="17" customFormat="1" ht="18" customHeight="1" x14ac:dyDescent="0.2">
      <c r="A359" s="9" t="s">
        <v>16</v>
      </c>
      <c r="B359" s="76" t="s">
        <v>491</v>
      </c>
      <c r="C359" s="63"/>
      <c r="D359" s="63"/>
      <c r="E359" s="64"/>
      <c r="F359" s="22"/>
      <c r="G359" s="11">
        <f t="shared" ref="G359:K359" si="135">G353+G354</f>
        <v>-259700</v>
      </c>
      <c r="H359" s="11">
        <f t="shared" si="135"/>
        <v>-225850.75000000186</v>
      </c>
      <c r="I359" s="11">
        <f t="shared" si="135"/>
        <v>-184919.80000000075</v>
      </c>
      <c r="J359" s="11">
        <f t="shared" si="135"/>
        <v>-154077.5</v>
      </c>
      <c r="K359" s="11">
        <f t="shared" si="135"/>
        <v>14837.719999999703</v>
      </c>
      <c r="L359" s="11">
        <f>L353+L354</f>
        <v>1257.4800000029791</v>
      </c>
      <c r="M359" s="12">
        <f t="shared" si="118"/>
        <v>30842.300000000745</v>
      </c>
      <c r="N359" s="12">
        <f t="shared" si="119"/>
        <v>105622.5</v>
      </c>
      <c r="O359" s="13">
        <f t="shared" si="123"/>
        <v>168915.21999999971</v>
      </c>
      <c r="P359" s="13">
        <f t="shared" si="124"/>
        <v>274537.71999999968</v>
      </c>
      <c r="Q359" s="14"/>
      <c r="R359" s="14"/>
      <c r="S359" s="15"/>
      <c r="T359" s="16" t="e">
        <f>#REF!-#REF!</f>
        <v>#REF!</v>
      </c>
      <c r="W359" s="18"/>
      <c r="X359" s="18"/>
      <c r="AA359" s="19"/>
    </row>
    <row r="360" spans="1:27" s="43" customFormat="1" ht="17.25" hidden="1" customHeight="1" x14ac:dyDescent="0.2">
      <c r="A360" s="111" t="s">
        <v>16</v>
      </c>
      <c r="B360" s="111"/>
      <c r="C360" s="111"/>
      <c r="D360" s="111" t="s">
        <v>492</v>
      </c>
      <c r="E360" s="98"/>
      <c r="F360" s="111"/>
      <c r="G360" s="14"/>
      <c r="H360" s="14"/>
      <c r="I360" s="14"/>
      <c r="J360" s="14"/>
      <c r="K360" s="14"/>
      <c r="L360" s="14"/>
      <c r="M360" s="14"/>
      <c r="N360" s="12">
        <f t="shared" ref="N360:N364" si="136">I360-G360</f>
        <v>0</v>
      </c>
      <c r="O360" s="14"/>
      <c r="P360" s="14"/>
      <c r="Q360" s="14"/>
      <c r="R360" s="14"/>
      <c r="S360" s="15"/>
      <c r="T360" s="16"/>
      <c r="W360" s="44"/>
      <c r="X360" s="44"/>
    </row>
    <row r="361" spans="1:27" s="43" customFormat="1" ht="17.25" hidden="1" customHeight="1" x14ac:dyDescent="0.2">
      <c r="A361" s="55" t="s">
        <v>16</v>
      </c>
      <c r="B361" s="55"/>
      <c r="C361" s="55"/>
      <c r="D361" s="49"/>
      <c r="E361" s="52" t="s">
        <v>493</v>
      </c>
      <c r="F361" s="52"/>
      <c r="G361" s="14"/>
      <c r="H361" s="14"/>
      <c r="I361" s="14"/>
      <c r="J361" s="14"/>
      <c r="K361" s="14"/>
      <c r="L361" s="14"/>
      <c r="M361" s="14"/>
      <c r="N361" s="12">
        <f t="shared" si="136"/>
        <v>0</v>
      </c>
      <c r="O361" s="14"/>
      <c r="P361" s="14"/>
      <c r="Q361" s="14"/>
      <c r="R361" s="14"/>
      <c r="S361" s="15"/>
      <c r="T361" s="16"/>
      <c r="W361" s="44"/>
      <c r="X361" s="44"/>
    </row>
    <row r="362" spans="1:27" s="43" customFormat="1" ht="17.25" hidden="1" customHeight="1" x14ac:dyDescent="0.2">
      <c r="A362" s="55" t="s">
        <v>16</v>
      </c>
      <c r="B362" s="55"/>
      <c r="C362" s="55"/>
      <c r="D362" s="49"/>
      <c r="E362" s="52"/>
      <c r="F362" s="55" t="s">
        <v>494</v>
      </c>
      <c r="G362" s="14"/>
      <c r="H362" s="14"/>
      <c r="I362" s="14"/>
      <c r="J362" s="14"/>
      <c r="K362" s="14"/>
      <c r="L362" s="14"/>
      <c r="M362" s="14"/>
      <c r="N362" s="12">
        <f t="shared" si="136"/>
        <v>0</v>
      </c>
      <c r="O362" s="14"/>
      <c r="P362" s="14"/>
      <c r="Q362" s="14"/>
      <c r="R362" s="14"/>
      <c r="S362" s="15"/>
      <c r="T362" s="16"/>
      <c r="W362" s="44"/>
      <c r="X362" s="44"/>
    </row>
    <row r="363" spans="1:27" s="43" customFormat="1" ht="17.25" hidden="1" customHeight="1" x14ac:dyDescent="0.2">
      <c r="A363" s="55" t="s">
        <v>16</v>
      </c>
      <c r="B363" s="55"/>
      <c r="C363" s="55"/>
      <c r="D363" s="49"/>
      <c r="E363" s="52" t="s">
        <v>495</v>
      </c>
      <c r="F363" s="52"/>
      <c r="G363" s="14"/>
      <c r="H363" s="14"/>
      <c r="I363" s="14"/>
      <c r="J363" s="14"/>
      <c r="K363" s="14"/>
      <c r="L363" s="14"/>
      <c r="M363" s="14"/>
      <c r="N363" s="12">
        <f t="shared" si="136"/>
        <v>0</v>
      </c>
      <c r="O363" s="14"/>
      <c r="P363" s="14"/>
      <c r="Q363" s="14"/>
      <c r="R363" s="14"/>
      <c r="S363" s="15"/>
      <c r="T363" s="16"/>
      <c r="W363" s="44"/>
      <c r="X363" s="44"/>
    </row>
    <row r="364" spans="1:27" ht="17.25" hidden="1" customHeight="1" x14ac:dyDescent="0.3">
      <c r="A364" s="55" t="s">
        <v>16</v>
      </c>
      <c r="B364" s="55"/>
      <c r="C364" s="55"/>
      <c r="D364" s="49"/>
      <c r="E364" s="52"/>
      <c r="F364" s="55" t="s">
        <v>496</v>
      </c>
      <c r="G364" s="14"/>
      <c r="H364" s="14"/>
      <c r="I364" s="14"/>
      <c r="J364" s="14"/>
      <c r="K364" s="14"/>
      <c r="L364" s="14"/>
      <c r="M364" s="14"/>
      <c r="N364" s="12">
        <f t="shared" si="136"/>
        <v>0</v>
      </c>
      <c r="O364" s="14"/>
      <c r="P364" s="14"/>
      <c r="Q364" s="14"/>
      <c r="R364" s="14"/>
      <c r="S364" s="15"/>
      <c r="T364" s="16"/>
    </row>
    <row r="366" spans="1:27" x14ac:dyDescent="0.3">
      <c r="A366" s="112"/>
      <c r="B366" s="112"/>
      <c r="C366" s="112"/>
      <c r="D366" s="114"/>
      <c r="E366" s="115"/>
      <c r="F366" s="112"/>
    </row>
    <row r="367" spans="1:27" s="123" customFormat="1" x14ac:dyDescent="0.3">
      <c r="A367" s="120"/>
      <c r="B367" s="120"/>
      <c r="C367" s="120"/>
      <c r="D367" s="121"/>
      <c r="E367" s="122"/>
      <c r="F367" s="120"/>
      <c r="G367" s="116"/>
      <c r="H367" s="116"/>
      <c r="I367" s="116"/>
      <c r="J367" s="116"/>
      <c r="K367" s="116"/>
      <c r="L367" s="116"/>
      <c r="M367" s="116"/>
      <c r="N367" s="116"/>
      <c r="O367" s="116"/>
      <c r="P367" s="116"/>
      <c r="Q367" s="116"/>
      <c r="R367" s="117"/>
      <c r="S367" s="118"/>
      <c r="T367" s="119"/>
      <c r="W367" s="113"/>
      <c r="X367" s="113"/>
    </row>
    <row r="368" spans="1:27" s="123" customFormat="1" x14ac:dyDescent="0.3">
      <c r="A368" s="120"/>
      <c r="B368" s="120"/>
      <c r="C368" s="120"/>
      <c r="D368" s="121"/>
      <c r="E368" s="122"/>
      <c r="F368" s="124"/>
      <c r="G368" s="116"/>
      <c r="H368" s="116"/>
      <c r="I368" s="116"/>
      <c r="J368" s="125" t="s">
        <v>497</v>
      </c>
      <c r="K368" s="125"/>
      <c r="L368" s="116"/>
      <c r="M368" s="125"/>
      <c r="N368" s="116"/>
      <c r="O368" s="116"/>
      <c r="P368" s="116"/>
      <c r="Q368" s="116"/>
      <c r="R368" s="117"/>
      <c r="S368" s="118"/>
      <c r="T368" s="119"/>
      <c r="W368" s="113"/>
      <c r="X368" s="113"/>
    </row>
    <row r="369" spans="1:24" s="123" customFormat="1" x14ac:dyDescent="0.3">
      <c r="A369" s="120"/>
      <c r="B369" s="120"/>
      <c r="C369" s="120"/>
      <c r="D369" s="121"/>
      <c r="E369" s="122"/>
      <c r="F369" s="126"/>
      <c r="G369" s="116"/>
      <c r="H369" s="116"/>
      <c r="I369" s="116"/>
      <c r="J369" s="127" t="s">
        <v>498</v>
      </c>
      <c r="K369" s="127"/>
      <c r="L369" s="116"/>
      <c r="M369" s="127"/>
      <c r="N369" s="116"/>
      <c r="O369" s="116"/>
      <c r="P369" s="116"/>
      <c r="Q369" s="116"/>
      <c r="R369" s="117"/>
      <c r="S369" s="118"/>
      <c r="T369" s="119"/>
      <c r="W369" s="113"/>
      <c r="X369" s="113"/>
    </row>
    <row r="370" spans="1:24" s="123" customFormat="1" x14ac:dyDescent="0.3">
      <c r="A370" s="120"/>
      <c r="B370" s="120"/>
      <c r="C370" s="120"/>
      <c r="D370" s="121"/>
      <c r="E370" s="122"/>
      <c r="F370" s="120"/>
      <c r="G370" s="116"/>
      <c r="H370" s="116"/>
      <c r="I370" s="116"/>
      <c r="J370" s="116"/>
      <c r="K370" s="116"/>
      <c r="L370" s="116"/>
      <c r="M370" s="116"/>
      <c r="N370" s="116"/>
      <c r="O370" s="116"/>
      <c r="P370" s="116"/>
      <c r="Q370" s="116"/>
      <c r="R370" s="117"/>
      <c r="S370" s="118"/>
      <c r="T370" s="119"/>
      <c r="W370" s="113"/>
      <c r="X370" s="113"/>
    </row>
    <row r="371" spans="1:24" s="123" customFormat="1" x14ac:dyDescent="0.3">
      <c r="A371" s="120"/>
      <c r="B371" s="120"/>
      <c r="C371" s="120"/>
      <c r="D371" s="121"/>
      <c r="E371" s="122"/>
      <c r="F371" s="120"/>
      <c r="G371" s="116"/>
      <c r="H371" s="116"/>
      <c r="I371" s="116"/>
      <c r="J371" s="116"/>
      <c r="K371" s="116"/>
      <c r="L371" s="116"/>
      <c r="M371" s="116"/>
      <c r="N371" s="116"/>
      <c r="O371" s="116"/>
      <c r="P371" s="116"/>
      <c r="Q371" s="116"/>
      <c r="R371" s="117"/>
      <c r="S371" s="118"/>
      <c r="T371" s="119"/>
      <c r="W371" s="113"/>
      <c r="X371" s="113"/>
    </row>
    <row r="372" spans="1:24" s="123" customFormat="1" x14ac:dyDescent="0.3">
      <c r="A372" s="120"/>
      <c r="B372" s="120"/>
      <c r="C372" s="120"/>
      <c r="D372" s="121"/>
      <c r="E372" s="122"/>
      <c r="F372" s="120"/>
      <c r="G372" s="116"/>
      <c r="H372" s="116"/>
      <c r="I372" s="116"/>
      <c r="J372" s="116"/>
      <c r="K372" s="116"/>
      <c r="L372" s="116"/>
      <c r="M372" s="116"/>
      <c r="N372" s="116"/>
      <c r="O372" s="116"/>
      <c r="P372" s="116"/>
      <c r="Q372" s="116"/>
      <c r="R372" s="117"/>
      <c r="S372" s="118"/>
      <c r="T372" s="119"/>
      <c r="W372" s="113"/>
      <c r="X372" s="113"/>
    </row>
    <row r="373" spans="1:24" s="123" customFormat="1" x14ac:dyDescent="0.3">
      <c r="A373" s="120"/>
      <c r="B373" s="120"/>
      <c r="C373" s="120"/>
      <c r="D373" s="121"/>
      <c r="E373" s="122"/>
      <c r="F373" s="120"/>
      <c r="G373" s="116"/>
      <c r="H373" s="116"/>
      <c r="I373" s="116"/>
      <c r="J373" s="116"/>
      <c r="K373" s="116"/>
      <c r="L373" s="116"/>
      <c r="M373" s="116"/>
      <c r="N373" s="116"/>
      <c r="O373" s="116"/>
      <c r="P373" s="116"/>
      <c r="Q373" s="116"/>
      <c r="R373" s="117"/>
      <c r="S373" s="118"/>
      <c r="T373" s="119"/>
      <c r="W373" s="113"/>
      <c r="X373" s="113"/>
    </row>
    <row r="374" spans="1:24" s="123" customFormat="1" x14ac:dyDescent="0.3">
      <c r="A374" s="120"/>
      <c r="B374" s="120"/>
      <c r="C374" s="120"/>
      <c r="D374" s="121"/>
      <c r="E374" s="122"/>
      <c r="F374" s="120"/>
      <c r="G374" s="116"/>
      <c r="H374" s="116"/>
      <c r="I374" s="116"/>
      <c r="J374" s="116"/>
      <c r="K374" s="116"/>
      <c r="L374" s="116"/>
      <c r="M374" s="116"/>
      <c r="N374" s="116"/>
      <c r="O374" s="116"/>
      <c r="P374" s="116"/>
      <c r="Q374" s="116"/>
      <c r="R374" s="117"/>
      <c r="S374" s="118"/>
      <c r="T374" s="119"/>
      <c r="W374" s="113"/>
      <c r="X374" s="113"/>
    </row>
    <row r="375" spans="1:24" s="123" customFormat="1" x14ac:dyDescent="0.3">
      <c r="A375" s="120"/>
      <c r="B375" s="120"/>
      <c r="C375" s="120"/>
      <c r="D375" s="121"/>
      <c r="E375" s="122"/>
      <c r="F375" s="120"/>
      <c r="G375" s="116"/>
      <c r="H375" s="116"/>
      <c r="I375" s="116"/>
      <c r="J375" s="116"/>
      <c r="K375" s="116"/>
      <c r="L375" s="116"/>
      <c r="M375" s="116"/>
      <c r="N375" s="116"/>
      <c r="O375" s="116"/>
      <c r="P375" s="116"/>
      <c r="Q375" s="116"/>
      <c r="R375" s="117"/>
      <c r="S375" s="118"/>
      <c r="T375" s="119"/>
      <c r="W375" s="113"/>
      <c r="X375" s="113"/>
    </row>
    <row r="376" spans="1:24" s="123" customFormat="1" x14ac:dyDescent="0.3">
      <c r="A376" s="120"/>
      <c r="B376" s="120"/>
      <c r="C376" s="120"/>
      <c r="D376" s="121"/>
      <c r="E376" s="122"/>
      <c r="F376" s="120"/>
      <c r="G376" s="116"/>
      <c r="H376" s="116"/>
      <c r="I376" s="116"/>
      <c r="J376" s="116"/>
      <c r="K376" s="116"/>
      <c r="L376" s="116"/>
      <c r="M376" s="116"/>
      <c r="N376" s="116"/>
      <c r="O376" s="116"/>
      <c r="P376" s="116"/>
      <c r="Q376" s="116"/>
      <c r="R376" s="117"/>
      <c r="S376" s="118"/>
      <c r="T376" s="119"/>
      <c r="W376" s="113"/>
      <c r="X376" s="113"/>
    </row>
    <row r="377" spans="1:24" s="123" customFormat="1" x14ac:dyDescent="0.3">
      <c r="A377" s="120"/>
      <c r="B377" s="120"/>
      <c r="C377" s="120"/>
      <c r="D377" s="121"/>
      <c r="E377" s="122"/>
      <c r="F377" s="120"/>
      <c r="G377" s="116"/>
      <c r="H377" s="116"/>
      <c r="I377" s="116"/>
      <c r="J377" s="116"/>
      <c r="K377" s="116"/>
      <c r="L377" s="116"/>
      <c r="M377" s="116"/>
      <c r="N377" s="116"/>
      <c r="O377" s="116"/>
      <c r="P377" s="116"/>
      <c r="Q377" s="116"/>
      <c r="R377" s="117"/>
      <c r="S377" s="118"/>
      <c r="T377" s="119"/>
      <c r="W377" s="113"/>
      <c r="X377" s="113"/>
    </row>
    <row r="378" spans="1:24" s="123" customFormat="1" x14ac:dyDescent="0.3">
      <c r="A378" s="120"/>
      <c r="B378" s="120"/>
      <c r="C378" s="120"/>
      <c r="D378" s="121"/>
      <c r="E378" s="122"/>
      <c r="F378" s="120"/>
      <c r="G378" s="116"/>
      <c r="H378" s="116"/>
      <c r="I378" s="116"/>
      <c r="J378" s="116"/>
      <c r="K378" s="116"/>
      <c r="L378" s="116"/>
      <c r="M378" s="116"/>
      <c r="N378" s="116"/>
      <c r="O378" s="116"/>
      <c r="P378" s="116"/>
      <c r="Q378" s="116"/>
      <c r="R378" s="117"/>
      <c r="S378" s="118"/>
      <c r="T378" s="119"/>
      <c r="W378" s="113"/>
      <c r="X378" s="113"/>
    </row>
    <row r="379" spans="1:24" s="123" customFormat="1" x14ac:dyDescent="0.3">
      <c r="A379" s="120"/>
      <c r="B379" s="120"/>
      <c r="C379" s="120"/>
      <c r="D379" s="121"/>
      <c r="E379" s="122"/>
      <c r="F379" s="120"/>
      <c r="G379" s="116"/>
      <c r="H379" s="116"/>
      <c r="I379" s="116"/>
      <c r="J379" s="116"/>
      <c r="K379" s="116"/>
      <c r="L379" s="116"/>
      <c r="M379" s="116"/>
      <c r="N379" s="116"/>
      <c r="O379" s="116"/>
      <c r="P379" s="116"/>
      <c r="Q379" s="116"/>
      <c r="R379" s="117"/>
      <c r="S379" s="118"/>
      <c r="T379" s="119"/>
      <c r="W379" s="113"/>
      <c r="X379" s="113"/>
    </row>
    <row r="380" spans="1:24" s="123" customFormat="1" x14ac:dyDescent="0.3">
      <c r="A380" s="120"/>
      <c r="B380" s="120"/>
      <c r="C380" s="120"/>
      <c r="D380" s="121"/>
      <c r="E380" s="122"/>
      <c r="F380" s="120"/>
      <c r="G380" s="116"/>
      <c r="H380" s="116"/>
      <c r="I380" s="116"/>
      <c r="J380" s="116"/>
      <c r="K380" s="116"/>
      <c r="L380" s="116"/>
      <c r="M380" s="116"/>
      <c r="N380" s="116"/>
      <c r="O380" s="116"/>
      <c r="P380" s="116"/>
      <c r="Q380" s="116"/>
      <c r="R380" s="117"/>
      <c r="S380" s="118"/>
      <c r="T380" s="119"/>
      <c r="W380" s="113"/>
      <c r="X380" s="113"/>
    </row>
    <row r="381" spans="1:24" s="123" customFormat="1" x14ac:dyDescent="0.3">
      <c r="A381" s="120"/>
      <c r="B381" s="120"/>
      <c r="C381" s="120"/>
      <c r="D381" s="121"/>
      <c r="E381" s="122"/>
      <c r="F381" s="120"/>
      <c r="G381" s="116"/>
      <c r="H381" s="116"/>
      <c r="I381" s="116"/>
      <c r="J381" s="116"/>
      <c r="K381" s="116"/>
      <c r="L381" s="116"/>
      <c r="M381" s="116"/>
      <c r="N381" s="116"/>
      <c r="O381" s="116"/>
      <c r="P381" s="116"/>
      <c r="Q381" s="116"/>
      <c r="R381" s="117"/>
      <c r="S381" s="118"/>
      <c r="T381" s="119"/>
      <c r="W381" s="113"/>
      <c r="X381" s="113"/>
    </row>
    <row r="382" spans="1:24" s="123" customFormat="1" x14ac:dyDescent="0.3">
      <c r="A382" s="120"/>
      <c r="B382" s="120"/>
      <c r="C382" s="120"/>
      <c r="D382" s="121"/>
      <c r="E382" s="122"/>
      <c r="F382" s="120"/>
      <c r="G382" s="116"/>
      <c r="H382" s="116"/>
      <c r="I382" s="116"/>
      <c r="J382" s="116"/>
      <c r="K382" s="116"/>
      <c r="L382" s="116"/>
      <c r="M382" s="116"/>
      <c r="N382" s="116"/>
      <c r="O382" s="116"/>
      <c r="P382" s="116"/>
      <c r="Q382" s="116"/>
      <c r="R382" s="117"/>
      <c r="S382" s="118"/>
      <c r="T382" s="119"/>
      <c r="W382" s="113"/>
      <c r="X382" s="113"/>
    </row>
    <row r="383" spans="1:24" s="123" customFormat="1" x14ac:dyDescent="0.3">
      <c r="A383" s="120"/>
      <c r="B383" s="120"/>
      <c r="C383" s="120"/>
      <c r="D383" s="121"/>
      <c r="E383" s="122"/>
      <c r="F383" s="120"/>
      <c r="G383" s="116"/>
      <c r="H383" s="116"/>
      <c r="I383" s="116"/>
      <c r="J383" s="116"/>
      <c r="K383" s="116"/>
      <c r="L383" s="116"/>
      <c r="M383" s="116"/>
      <c r="N383" s="116"/>
      <c r="O383" s="116"/>
      <c r="P383" s="116"/>
      <c r="Q383" s="116"/>
      <c r="R383" s="117"/>
      <c r="S383" s="118"/>
      <c r="T383" s="119"/>
      <c r="W383" s="113"/>
      <c r="X383" s="113"/>
    </row>
    <row r="384" spans="1:24" s="123" customFormat="1" x14ac:dyDescent="0.3">
      <c r="A384" s="120"/>
      <c r="B384" s="120"/>
      <c r="C384" s="120"/>
      <c r="D384" s="121"/>
      <c r="E384" s="122"/>
      <c r="F384" s="120"/>
      <c r="G384" s="116"/>
      <c r="H384" s="116"/>
      <c r="I384" s="116"/>
      <c r="J384" s="116"/>
      <c r="K384" s="116"/>
      <c r="L384" s="116"/>
      <c r="M384" s="116"/>
      <c r="N384" s="116"/>
      <c r="O384" s="116"/>
      <c r="P384" s="116"/>
      <c r="Q384" s="116"/>
      <c r="R384" s="117"/>
      <c r="S384" s="118"/>
      <c r="T384" s="119"/>
      <c r="W384" s="113"/>
      <c r="X384" s="113"/>
    </row>
    <row r="385" spans="1:24" s="123" customFormat="1" x14ac:dyDescent="0.3">
      <c r="A385" s="120"/>
      <c r="B385" s="120"/>
      <c r="C385" s="120"/>
      <c r="D385" s="121"/>
      <c r="E385" s="122"/>
      <c r="F385" s="120"/>
      <c r="G385" s="116"/>
      <c r="H385" s="116"/>
      <c r="I385" s="116"/>
      <c r="J385" s="116"/>
      <c r="K385" s="116"/>
      <c r="L385" s="116"/>
      <c r="M385" s="116"/>
      <c r="N385" s="116"/>
      <c r="O385" s="116"/>
      <c r="P385" s="116"/>
      <c r="Q385" s="116"/>
      <c r="R385" s="117"/>
      <c r="S385" s="118"/>
      <c r="T385" s="119"/>
      <c r="W385" s="113"/>
      <c r="X385" s="113"/>
    </row>
    <row r="386" spans="1:24" s="123" customFormat="1" x14ac:dyDescent="0.3">
      <c r="A386" s="120"/>
      <c r="B386" s="120"/>
      <c r="C386" s="120"/>
      <c r="D386" s="121"/>
      <c r="E386" s="122"/>
      <c r="F386" s="120"/>
      <c r="G386" s="116"/>
      <c r="H386" s="116"/>
      <c r="I386" s="116"/>
      <c r="J386" s="116"/>
      <c r="K386" s="116"/>
      <c r="L386" s="116"/>
      <c r="M386" s="116"/>
      <c r="N386" s="116"/>
      <c r="O386" s="116"/>
      <c r="P386" s="116"/>
      <c r="Q386" s="116"/>
      <c r="R386" s="117"/>
      <c r="S386" s="118"/>
      <c r="T386" s="119"/>
      <c r="W386" s="113"/>
      <c r="X386" s="113"/>
    </row>
    <row r="387" spans="1:24" s="123" customFormat="1" x14ac:dyDescent="0.3">
      <c r="A387" s="120"/>
      <c r="B387" s="120"/>
      <c r="C387" s="120"/>
      <c r="D387" s="121"/>
      <c r="E387" s="122"/>
      <c r="F387" s="120"/>
      <c r="G387" s="116"/>
      <c r="H387" s="116"/>
      <c r="I387" s="116"/>
      <c r="J387" s="116"/>
      <c r="K387" s="116"/>
      <c r="L387" s="116"/>
      <c r="M387" s="116"/>
      <c r="N387" s="116"/>
      <c r="O387" s="116"/>
      <c r="P387" s="116"/>
      <c r="Q387" s="116"/>
      <c r="R387" s="117"/>
      <c r="S387" s="118"/>
      <c r="T387" s="119"/>
      <c r="W387" s="113"/>
      <c r="X387" s="113"/>
    </row>
    <row r="388" spans="1:24" s="123" customFormat="1" x14ac:dyDescent="0.3">
      <c r="A388" s="120"/>
      <c r="B388" s="120"/>
      <c r="C388" s="120"/>
      <c r="D388" s="121"/>
      <c r="E388" s="122"/>
      <c r="F388" s="120"/>
      <c r="G388" s="116"/>
      <c r="H388" s="116"/>
      <c r="I388" s="116"/>
      <c r="J388" s="116"/>
      <c r="K388" s="116"/>
      <c r="L388" s="116"/>
      <c r="M388" s="116"/>
      <c r="N388" s="116"/>
      <c r="O388" s="116"/>
      <c r="P388" s="116"/>
      <c r="Q388" s="116"/>
      <c r="R388" s="117"/>
      <c r="S388" s="118"/>
      <c r="T388" s="119"/>
      <c r="W388" s="113"/>
      <c r="X388" s="113"/>
    </row>
    <row r="389" spans="1:24" s="123" customFormat="1" x14ac:dyDescent="0.3">
      <c r="A389" s="120"/>
      <c r="B389" s="120"/>
      <c r="C389" s="120"/>
      <c r="D389" s="121"/>
      <c r="E389" s="122"/>
      <c r="F389" s="120"/>
      <c r="G389" s="116"/>
      <c r="H389" s="116"/>
      <c r="I389" s="116"/>
      <c r="J389" s="116"/>
      <c r="K389" s="116"/>
      <c r="L389" s="116"/>
      <c r="M389" s="116"/>
      <c r="N389" s="116"/>
      <c r="O389" s="116"/>
      <c r="P389" s="116"/>
      <c r="Q389" s="116"/>
      <c r="R389" s="117"/>
      <c r="S389" s="118"/>
      <c r="T389" s="119"/>
      <c r="W389" s="113"/>
      <c r="X389" s="113"/>
    </row>
    <row r="390" spans="1:24" s="123" customFormat="1" x14ac:dyDescent="0.3">
      <c r="A390" s="120"/>
      <c r="B390" s="120"/>
      <c r="C390" s="120"/>
      <c r="D390" s="121"/>
      <c r="E390" s="122"/>
      <c r="F390" s="120"/>
      <c r="G390" s="116"/>
      <c r="H390" s="116"/>
      <c r="I390" s="116"/>
      <c r="J390" s="116"/>
      <c r="K390" s="116"/>
      <c r="L390" s="116"/>
      <c r="M390" s="116"/>
      <c r="N390" s="116"/>
      <c r="O390" s="116"/>
      <c r="P390" s="116"/>
      <c r="Q390" s="116"/>
      <c r="R390" s="117"/>
      <c r="S390" s="118"/>
      <c r="T390" s="119"/>
      <c r="W390" s="113"/>
      <c r="X390" s="113"/>
    </row>
    <row r="391" spans="1:24" s="123" customFormat="1" x14ac:dyDescent="0.3">
      <c r="A391" s="120"/>
      <c r="B391" s="120"/>
      <c r="C391" s="120"/>
      <c r="D391" s="121"/>
      <c r="E391" s="122"/>
      <c r="F391" s="120"/>
      <c r="G391" s="116"/>
      <c r="H391" s="116"/>
      <c r="I391" s="116"/>
      <c r="J391" s="116"/>
      <c r="K391" s="116"/>
      <c r="L391" s="116"/>
      <c r="M391" s="116"/>
      <c r="N391" s="116"/>
      <c r="O391" s="116"/>
      <c r="P391" s="116"/>
      <c r="Q391" s="116"/>
      <c r="R391" s="117"/>
      <c r="S391" s="118"/>
      <c r="T391" s="119"/>
      <c r="W391" s="113"/>
      <c r="X391" s="113"/>
    </row>
    <row r="392" spans="1:24" s="123" customFormat="1" x14ac:dyDescent="0.3">
      <c r="A392" s="120"/>
      <c r="B392" s="120"/>
      <c r="C392" s="120"/>
      <c r="D392" s="121"/>
      <c r="E392" s="122"/>
      <c r="F392" s="120"/>
      <c r="G392" s="116"/>
      <c r="H392" s="116"/>
      <c r="I392" s="116"/>
      <c r="J392" s="116"/>
      <c r="K392" s="116"/>
      <c r="L392" s="116"/>
      <c r="M392" s="116"/>
      <c r="N392" s="116"/>
      <c r="O392" s="116"/>
      <c r="P392" s="116"/>
      <c r="Q392" s="116"/>
      <c r="R392" s="117"/>
      <c r="S392" s="118"/>
      <c r="T392" s="119"/>
      <c r="W392" s="113"/>
      <c r="X392" s="113"/>
    </row>
    <row r="393" spans="1:24" s="123" customFormat="1" x14ac:dyDescent="0.3">
      <c r="A393" s="120"/>
      <c r="B393" s="120"/>
      <c r="C393" s="120"/>
      <c r="D393" s="121"/>
      <c r="E393" s="122"/>
      <c r="F393" s="120"/>
      <c r="G393" s="116"/>
      <c r="H393" s="116"/>
      <c r="I393" s="116"/>
      <c r="J393" s="116"/>
      <c r="K393" s="116"/>
      <c r="L393" s="116"/>
      <c r="M393" s="116"/>
      <c r="N393" s="116"/>
      <c r="O393" s="116"/>
      <c r="P393" s="116"/>
      <c r="Q393" s="116"/>
      <c r="R393" s="117"/>
      <c r="S393" s="118"/>
      <c r="T393" s="119"/>
      <c r="W393" s="113"/>
      <c r="X393" s="113"/>
    </row>
    <row r="394" spans="1:24" s="123" customFormat="1" x14ac:dyDescent="0.3">
      <c r="A394" s="120"/>
      <c r="B394" s="120"/>
      <c r="C394" s="120"/>
      <c r="D394" s="121"/>
      <c r="E394" s="122"/>
      <c r="F394" s="120"/>
      <c r="G394" s="116"/>
      <c r="H394" s="116"/>
      <c r="I394" s="116"/>
      <c r="J394" s="116"/>
      <c r="K394" s="116"/>
      <c r="L394" s="116"/>
      <c r="M394" s="116"/>
      <c r="N394" s="116"/>
      <c r="O394" s="116"/>
      <c r="P394" s="116"/>
      <c r="Q394" s="116"/>
      <c r="R394" s="117"/>
      <c r="S394" s="118"/>
      <c r="T394" s="119"/>
      <c r="W394" s="113"/>
      <c r="X394" s="113"/>
    </row>
    <row r="395" spans="1:24" s="123" customFormat="1" x14ac:dyDescent="0.3">
      <c r="A395" s="120"/>
      <c r="B395" s="120"/>
      <c r="C395" s="120"/>
      <c r="D395" s="121"/>
      <c r="E395" s="122"/>
      <c r="F395" s="120"/>
      <c r="G395" s="116"/>
      <c r="H395" s="116"/>
      <c r="I395" s="116"/>
      <c r="J395" s="116"/>
      <c r="K395" s="116"/>
      <c r="L395" s="116"/>
      <c r="M395" s="116"/>
      <c r="N395" s="116"/>
      <c r="O395" s="116"/>
      <c r="P395" s="116"/>
      <c r="Q395" s="116"/>
      <c r="R395" s="117"/>
      <c r="S395" s="118"/>
      <c r="T395" s="119"/>
      <c r="W395" s="113"/>
      <c r="X395" s="113"/>
    </row>
    <row r="396" spans="1:24" s="123" customFormat="1" x14ac:dyDescent="0.3">
      <c r="A396" s="120"/>
      <c r="B396" s="120"/>
      <c r="C396" s="120"/>
      <c r="D396" s="121"/>
      <c r="E396" s="122"/>
      <c r="F396" s="120"/>
      <c r="G396" s="116"/>
      <c r="H396" s="116"/>
      <c r="I396" s="116"/>
      <c r="J396" s="116"/>
      <c r="K396" s="116"/>
      <c r="L396" s="116"/>
      <c r="M396" s="116"/>
      <c r="N396" s="116"/>
      <c r="O396" s="116"/>
      <c r="P396" s="116"/>
      <c r="Q396" s="116"/>
      <c r="R396" s="117"/>
      <c r="S396" s="118"/>
      <c r="T396" s="119"/>
      <c r="W396" s="113"/>
      <c r="X396" s="113"/>
    </row>
    <row r="397" spans="1:24" s="123" customFormat="1" x14ac:dyDescent="0.3">
      <c r="A397" s="120"/>
      <c r="B397" s="120"/>
      <c r="C397" s="120"/>
      <c r="D397" s="121"/>
      <c r="E397" s="122"/>
      <c r="F397" s="120"/>
      <c r="G397" s="116"/>
      <c r="H397" s="116"/>
      <c r="I397" s="116"/>
      <c r="J397" s="116"/>
      <c r="K397" s="116"/>
      <c r="L397" s="116"/>
      <c r="M397" s="116"/>
      <c r="N397" s="116"/>
      <c r="O397" s="116"/>
      <c r="P397" s="116"/>
      <c r="Q397" s="116"/>
      <c r="R397" s="117"/>
      <c r="S397" s="118"/>
      <c r="T397" s="119"/>
      <c r="W397" s="113"/>
      <c r="X397" s="113"/>
    </row>
    <row r="398" spans="1:24" s="123" customFormat="1" x14ac:dyDescent="0.3">
      <c r="A398" s="120"/>
      <c r="B398" s="120"/>
      <c r="C398" s="120"/>
      <c r="D398" s="121"/>
      <c r="E398" s="122"/>
      <c r="F398" s="120"/>
      <c r="G398" s="116"/>
      <c r="H398" s="116"/>
      <c r="I398" s="116"/>
      <c r="J398" s="116"/>
      <c r="K398" s="116"/>
      <c r="L398" s="116"/>
      <c r="M398" s="116"/>
      <c r="N398" s="116"/>
      <c r="O398" s="116"/>
      <c r="P398" s="116"/>
      <c r="Q398" s="116"/>
      <c r="R398" s="117"/>
      <c r="S398" s="118"/>
      <c r="T398" s="119"/>
      <c r="W398" s="113"/>
      <c r="X398" s="113"/>
    </row>
    <row r="399" spans="1:24" s="123" customFormat="1" x14ac:dyDescent="0.3">
      <c r="A399" s="120"/>
      <c r="B399" s="120"/>
      <c r="C399" s="120"/>
      <c r="D399" s="121"/>
      <c r="E399" s="122"/>
      <c r="F399" s="120"/>
      <c r="G399" s="116"/>
      <c r="H399" s="116"/>
      <c r="I399" s="116"/>
      <c r="J399" s="116"/>
      <c r="K399" s="116"/>
      <c r="L399" s="116"/>
      <c r="M399" s="116"/>
      <c r="N399" s="116"/>
      <c r="O399" s="116"/>
      <c r="P399" s="116"/>
      <c r="Q399" s="116"/>
      <c r="R399" s="117"/>
      <c r="S399" s="118"/>
      <c r="T399" s="119"/>
      <c r="W399" s="113"/>
      <c r="X399" s="113"/>
    </row>
    <row r="400" spans="1:24" s="123" customFormat="1" x14ac:dyDescent="0.3">
      <c r="A400" s="120"/>
      <c r="B400" s="120"/>
      <c r="C400" s="120"/>
      <c r="D400" s="121"/>
      <c r="E400" s="122"/>
      <c r="F400" s="120"/>
      <c r="G400" s="116"/>
      <c r="H400" s="116"/>
      <c r="I400" s="116"/>
      <c r="J400" s="116"/>
      <c r="K400" s="116"/>
      <c r="L400" s="116"/>
      <c r="M400" s="116"/>
      <c r="N400" s="116"/>
      <c r="O400" s="116"/>
      <c r="P400" s="116"/>
      <c r="Q400" s="116"/>
      <c r="R400" s="117"/>
      <c r="S400" s="118"/>
      <c r="T400" s="119"/>
      <c r="W400" s="113"/>
      <c r="X400" s="113"/>
    </row>
    <row r="401" spans="1:24" s="123" customFormat="1" x14ac:dyDescent="0.3">
      <c r="A401" s="120"/>
      <c r="B401" s="120"/>
      <c r="C401" s="120"/>
      <c r="D401" s="121"/>
      <c r="E401" s="122"/>
      <c r="F401" s="120"/>
      <c r="G401" s="116"/>
      <c r="H401" s="116"/>
      <c r="I401" s="116"/>
      <c r="J401" s="116"/>
      <c r="K401" s="116"/>
      <c r="L401" s="116"/>
      <c r="M401" s="116"/>
      <c r="N401" s="116"/>
      <c r="O401" s="116"/>
      <c r="P401" s="116"/>
      <c r="Q401" s="116"/>
      <c r="R401" s="117"/>
      <c r="S401" s="118"/>
      <c r="T401" s="119"/>
      <c r="W401" s="113"/>
      <c r="X401" s="113"/>
    </row>
    <row r="402" spans="1:24" s="123" customFormat="1" x14ac:dyDescent="0.3">
      <c r="A402" s="120"/>
      <c r="B402" s="120"/>
      <c r="C402" s="120"/>
      <c r="D402" s="121"/>
      <c r="E402" s="122"/>
      <c r="F402" s="120"/>
      <c r="G402" s="116"/>
      <c r="H402" s="116"/>
      <c r="I402" s="116"/>
      <c r="J402" s="116"/>
      <c r="K402" s="116"/>
      <c r="L402" s="116"/>
      <c r="M402" s="116"/>
      <c r="N402" s="116"/>
      <c r="O402" s="116"/>
      <c r="P402" s="116"/>
      <c r="Q402" s="116"/>
      <c r="R402" s="117"/>
      <c r="S402" s="118"/>
      <c r="T402" s="119"/>
      <c r="W402" s="113"/>
      <c r="X402" s="113"/>
    </row>
    <row r="403" spans="1:24" s="123" customFormat="1" x14ac:dyDescent="0.3">
      <c r="A403" s="120"/>
      <c r="B403" s="120"/>
      <c r="C403" s="120"/>
      <c r="D403" s="121"/>
      <c r="E403" s="122"/>
      <c r="F403" s="120"/>
      <c r="G403" s="116"/>
      <c r="H403" s="116"/>
      <c r="I403" s="116"/>
      <c r="J403" s="116"/>
      <c r="K403" s="116"/>
      <c r="L403" s="116"/>
      <c r="M403" s="116"/>
      <c r="N403" s="116"/>
      <c r="O403" s="116"/>
      <c r="P403" s="116"/>
      <c r="Q403" s="116"/>
      <c r="R403" s="117"/>
      <c r="S403" s="118"/>
      <c r="T403" s="119"/>
      <c r="W403" s="113"/>
      <c r="X403" s="113"/>
    </row>
    <row r="404" spans="1:24" s="123" customFormat="1" x14ac:dyDescent="0.3">
      <c r="A404" s="120"/>
      <c r="B404" s="120"/>
      <c r="C404" s="120"/>
      <c r="D404" s="121"/>
      <c r="E404" s="122"/>
      <c r="F404" s="120"/>
      <c r="G404" s="116"/>
      <c r="H404" s="116"/>
      <c r="I404" s="116"/>
      <c r="J404" s="116"/>
      <c r="K404" s="116"/>
      <c r="L404" s="116"/>
      <c r="M404" s="116"/>
      <c r="N404" s="116"/>
      <c r="O404" s="116"/>
      <c r="P404" s="116"/>
      <c r="Q404" s="116"/>
      <c r="R404" s="117"/>
      <c r="S404" s="118"/>
      <c r="T404" s="119"/>
      <c r="W404" s="113"/>
      <c r="X404" s="113"/>
    </row>
    <row r="405" spans="1:24" s="123" customFormat="1" x14ac:dyDescent="0.3">
      <c r="A405" s="120"/>
      <c r="B405" s="120"/>
      <c r="C405" s="120"/>
      <c r="D405" s="121"/>
      <c r="E405" s="122"/>
      <c r="F405" s="120"/>
      <c r="G405" s="116"/>
      <c r="H405" s="116"/>
      <c r="I405" s="116"/>
      <c r="J405" s="116"/>
      <c r="K405" s="116"/>
      <c r="L405" s="116"/>
      <c r="M405" s="116"/>
      <c r="N405" s="116"/>
      <c r="O405" s="116"/>
      <c r="P405" s="116"/>
      <c r="Q405" s="116"/>
      <c r="R405" s="117"/>
      <c r="S405" s="118"/>
      <c r="T405" s="119"/>
      <c r="W405" s="113"/>
      <c r="X405" s="113"/>
    </row>
    <row r="406" spans="1:24" s="123" customFormat="1" x14ac:dyDescent="0.3">
      <c r="A406" s="120"/>
      <c r="B406" s="120"/>
      <c r="C406" s="120"/>
      <c r="D406" s="121"/>
      <c r="E406" s="122"/>
      <c r="F406" s="120"/>
      <c r="G406" s="116"/>
      <c r="H406" s="116"/>
      <c r="I406" s="116"/>
      <c r="J406" s="116"/>
      <c r="K406" s="116"/>
      <c r="L406" s="116"/>
      <c r="M406" s="116"/>
      <c r="N406" s="116"/>
      <c r="O406" s="116"/>
      <c r="P406" s="116"/>
      <c r="Q406" s="116"/>
      <c r="R406" s="117"/>
      <c r="S406" s="118"/>
      <c r="T406" s="119"/>
      <c r="W406" s="113"/>
      <c r="X406" s="113"/>
    </row>
    <row r="407" spans="1:24" s="123" customFormat="1" x14ac:dyDescent="0.3">
      <c r="A407" s="120"/>
      <c r="B407" s="120"/>
      <c r="C407" s="120"/>
      <c r="D407" s="121"/>
      <c r="E407" s="122"/>
      <c r="F407" s="120"/>
      <c r="G407" s="116"/>
      <c r="H407" s="116"/>
      <c r="I407" s="116"/>
      <c r="J407" s="116"/>
      <c r="K407" s="116"/>
      <c r="L407" s="116"/>
      <c r="M407" s="116"/>
      <c r="N407" s="116"/>
      <c r="O407" s="116"/>
      <c r="P407" s="116"/>
      <c r="Q407" s="116"/>
      <c r="R407" s="117"/>
      <c r="S407" s="118"/>
      <c r="T407" s="119"/>
      <c r="W407" s="113"/>
      <c r="X407" s="113"/>
    </row>
    <row r="408" spans="1:24" s="123" customFormat="1" x14ac:dyDescent="0.3">
      <c r="A408" s="120"/>
      <c r="B408" s="120"/>
      <c r="C408" s="120"/>
      <c r="D408" s="121"/>
      <c r="E408" s="122"/>
      <c r="F408" s="120"/>
      <c r="G408" s="116"/>
      <c r="H408" s="116"/>
      <c r="I408" s="116"/>
      <c r="J408" s="116"/>
      <c r="K408" s="116"/>
      <c r="L408" s="116"/>
      <c r="M408" s="116"/>
      <c r="N408" s="116"/>
      <c r="O408" s="116"/>
      <c r="P408" s="116"/>
      <c r="Q408" s="116"/>
      <c r="R408" s="117"/>
      <c r="S408" s="118"/>
      <c r="T408" s="119"/>
      <c r="W408" s="113"/>
      <c r="X408" s="113"/>
    </row>
    <row r="409" spans="1:24" s="123" customFormat="1" x14ac:dyDescent="0.3">
      <c r="A409" s="120"/>
      <c r="B409" s="120"/>
      <c r="C409" s="120"/>
      <c r="D409" s="121"/>
      <c r="E409" s="122"/>
      <c r="F409" s="120"/>
      <c r="G409" s="116"/>
      <c r="H409" s="116"/>
      <c r="I409" s="116"/>
      <c r="J409" s="116"/>
      <c r="K409" s="116"/>
      <c r="L409" s="116"/>
      <c r="M409" s="116"/>
      <c r="N409" s="116"/>
      <c r="O409" s="116"/>
      <c r="P409" s="116"/>
      <c r="Q409" s="116"/>
      <c r="R409" s="117"/>
      <c r="S409" s="118"/>
      <c r="T409" s="119"/>
      <c r="W409" s="113"/>
      <c r="X409" s="113"/>
    </row>
    <row r="410" spans="1:24" s="123" customFormat="1" x14ac:dyDescent="0.3">
      <c r="A410" s="120"/>
      <c r="B410" s="120"/>
      <c r="C410" s="120"/>
      <c r="D410" s="121"/>
      <c r="E410" s="122"/>
      <c r="F410" s="120"/>
      <c r="G410" s="116"/>
      <c r="H410" s="116"/>
      <c r="I410" s="116"/>
      <c r="J410" s="116"/>
      <c r="K410" s="116"/>
      <c r="L410" s="116"/>
      <c r="M410" s="116"/>
      <c r="N410" s="116"/>
      <c r="O410" s="116"/>
      <c r="P410" s="116"/>
      <c r="Q410" s="116"/>
      <c r="R410" s="117"/>
      <c r="S410" s="118"/>
      <c r="T410" s="119"/>
      <c r="W410" s="113"/>
      <c r="X410" s="113"/>
    </row>
    <row r="411" spans="1:24" s="123" customFormat="1" x14ac:dyDescent="0.3">
      <c r="A411" s="120"/>
      <c r="B411" s="120"/>
      <c r="C411" s="120"/>
      <c r="D411" s="121"/>
      <c r="E411" s="122"/>
      <c r="F411" s="120"/>
      <c r="G411" s="116"/>
      <c r="H411" s="116"/>
      <c r="I411" s="116"/>
      <c r="J411" s="116"/>
      <c r="K411" s="116"/>
      <c r="L411" s="116"/>
      <c r="M411" s="116"/>
      <c r="N411" s="116"/>
      <c r="O411" s="116"/>
      <c r="P411" s="116"/>
      <c r="Q411" s="116"/>
      <c r="R411" s="117"/>
      <c r="S411" s="118"/>
      <c r="T411" s="119"/>
      <c r="W411" s="113"/>
      <c r="X411" s="113"/>
    </row>
    <row r="412" spans="1:24" s="123" customFormat="1" x14ac:dyDescent="0.3">
      <c r="A412" s="120"/>
      <c r="B412" s="120"/>
      <c r="C412" s="120"/>
      <c r="D412" s="121"/>
      <c r="E412" s="122"/>
      <c r="F412" s="120"/>
      <c r="G412" s="116"/>
      <c r="H412" s="116"/>
      <c r="I412" s="116"/>
      <c r="J412" s="116"/>
      <c r="K412" s="116"/>
      <c r="L412" s="116"/>
      <c r="M412" s="116"/>
      <c r="N412" s="116"/>
      <c r="O412" s="116"/>
      <c r="P412" s="116"/>
      <c r="Q412" s="116"/>
      <c r="R412" s="117"/>
      <c r="S412" s="118"/>
      <c r="T412" s="119"/>
      <c r="W412" s="113"/>
      <c r="X412" s="113"/>
    </row>
    <row r="413" spans="1:24" s="123" customFormat="1" x14ac:dyDescent="0.3">
      <c r="A413" s="120"/>
      <c r="B413" s="120"/>
      <c r="C413" s="120"/>
      <c r="D413" s="121"/>
      <c r="E413" s="122"/>
      <c r="F413" s="120"/>
      <c r="G413" s="116"/>
      <c r="H413" s="116"/>
      <c r="I413" s="116"/>
      <c r="J413" s="116"/>
      <c r="K413" s="116"/>
      <c r="L413" s="116"/>
      <c r="M413" s="116"/>
      <c r="N413" s="116"/>
      <c r="O413" s="116"/>
      <c r="P413" s="116"/>
      <c r="Q413" s="116"/>
      <c r="R413" s="117"/>
      <c r="S413" s="118"/>
      <c r="T413" s="119"/>
      <c r="W413" s="113"/>
      <c r="X413" s="113"/>
    </row>
    <row r="414" spans="1:24" s="123" customFormat="1" x14ac:dyDescent="0.3">
      <c r="A414" s="120"/>
      <c r="B414" s="120"/>
      <c r="C414" s="120"/>
      <c r="D414" s="121"/>
      <c r="E414" s="122"/>
      <c r="F414" s="120"/>
      <c r="G414" s="116"/>
      <c r="H414" s="116"/>
      <c r="I414" s="116"/>
      <c r="J414" s="116"/>
      <c r="K414" s="116"/>
      <c r="L414" s="116"/>
      <c r="M414" s="116"/>
      <c r="N414" s="116"/>
      <c r="O414" s="116"/>
      <c r="P414" s="116"/>
      <c r="Q414" s="116"/>
      <c r="R414" s="117"/>
      <c r="S414" s="118"/>
      <c r="T414" s="119"/>
      <c r="W414" s="113"/>
      <c r="X414" s="113"/>
    </row>
    <row r="415" spans="1:24" s="123" customFormat="1" x14ac:dyDescent="0.3">
      <c r="A415" s="120"/>
      <c r="B415" s="120"/>
      <c r="C415" s="120"/>
      <c r="D415" s="121"/>
      <c r="E415" s="122"/>
      <c r="F415" s="120"/>
      <c r="G415" s="116"/>
      <c r="H415" s="116"/>
      <c r="I415" s="116"/>
      <c r="J415" s="116"/>
      <c r="K415" s="116"/>
      <c r="L415" s="116"/>
      <c r="M415" s="116"/>
      <c r="N415" s="116"/>
      <c r="O415" s="116"/>
      <c r="P415" s="116"/>
      <c r="Q415" s="116"/>
      <c r="R415" s="117"/>
      <c r="S415" s="118"/>
      <c r="T415" s="119"/>
      <c r="W415" s="113"/>
      <c r="X415" s="113"/>
    </row>
    <row r="416" spans="1:24" s="123" customFormat="1" x14ac:dyDescent="0.3">
      <c r="A416" s="120"/>
      <c r="B416" s="120"/>
      <c r="C416" s="120"/>
      <c r="D416" s="121"/>
      <c r="E416" s="122"/>
      <c r="F416" s="120"/>
      <c r="G416" s="116"/>
      <c r="H416" s="116"/>
      <c r="I416" s="116"/>
      <c r="J416" s="116"/>
      <c r="K416" s="116"/>
      <c r="L416" s="116"/>
      <c r="M416" s="116"/>
      <c r="N416" s="116"/>
      <c r="O416" s="116"/>
      <c r="P416" s="116"/>
      <c r="Q416" s="116"/>
      <c r="R416" s="117"/>
      <c r="S416" s="118"/>
      <c r="T416" s="119"/>
      <c r="W416" s="113"/>
      <c r="X416" s="113"/>
    </row>
    <row r="417" spans="1:24" s="123" customFormat="1" x14ac:dyDescent="0.3">
      <c r="A417" s="120"/>
      <c r="B417" s="120"/>
      <c r="C417" s="120"/>
      <c r="D417" s="121"/>
      <c r="E417" s="122"/>
      <c r="F417" s="120"/>
      <c r="G417" s="116"/>
      <c r="H417" s="116"/>
      <c r="I417" s="116"/>
      <c r="J417" s="116"/>
      <c r="K417" s="116"/>
      <c r="L417" s="116"/>
      <c r="M417" s="116"/>
      <c r="N417" s="116"/>
      <c r="O417" s="116"/>
      <c r="P417" s="116"/>
      <c r="Q417" s="116"/>
      <c r="R417" s="117"/>
      <c r="S417" s="118"/>
      <c r="T417" s="119"/>
      <c r="W417" s="113"/>
      <c r="X417" s="113"/>
    </row>
    <row r="418" spans="1:24" s="123" customFormat="1" x14ac:dyDescent="0.3">
      <c r="A418" s="120"/>
      <c r="B418" s="120"/>
      <c r="C418" s="120"/>
      <c r="D418" s="121"/>
      <c r="E418" s="122"/>
      <c r="F418" s="120"/>
      <c r="G418" s="116"/>
      <c r="H418" s="116"/>
      <c r="I418" s="116"/>
      <c r="J418" s="116"/>
      <c r="K418" s="116"/>
      <c r="L418" s="116"/>
      <c r="M418" s="116"/>
      <c r="N418" s="116"/>
      <c r="O418" s="116"/>
      <c r="P418" s="116"/>
      <c r="Q418" s="116"/>
      <c r="R418" s="117"/>
      <c r="S418" s="118"/>
      <c r="T418" s="119"/>
      <c r="W418" s="113"/>
      <c r="X418" s="113"/>
    </row>
    <row r="419" spans="1:24" s="123" customFormat="1" x14ac:dyDescent="0.3">
      <c r="A419" s="120"/>
      <c r="B419" s="120"/>
      <c r="C419" s="120"/>
      <c r="D419" s="121"/>
      <c r="E419" s="122"/>
      <c r="F419" s="120"/>
      <c r="G419" s="116"/>
      <c r="H419" s="116"/>
      <c r="I419" s="116"/>
      <c r="J419" s="116"/>
      <c r="K419" s="116"/>
      <c r="L419" s="116"/>
      <c r="M419" s="116"/>
      <c r="N419" s="116"/>
      <c r="O419" s="116"/>
      <c r="P419" s="116"/>
      <c r="Q419" s="116"/>
      <c r="R419" s="117"/>
      <c r="S419" s="118"/>
      <c r="T419" s="119"/>
      <c r="W419" s="113"/>
      <c r="X419" s="113"/>
    </row>
    <row r="420" spans="1:24" s="123" customFormat="1" x14ac:dyDescent="0.3">
      <c r="A420" s="120"/>
      <c r="B420" s="120"/>
      <c r="C420" s="120"/>
      <c r="D420" s="121"/>
      <c r="E420" s="122"/>
      <c r="F420" s="120"/>
      <c r="G420" s="116"/>
      <c r="H420" s="116"/>
      <c r="I420" s="116"/>
      <c r="J420" s="116"/>
      <c r="K420" s="116"/>
      <c r="L420" s="116"/>
      <c r="M420" s="116"/>
      <c r="N420" s="116"/>
      <c r="O420" s="116"/>
      <c r="P420" s="116"/>
      <c r="Q420" s="116"/>
      <c r="R420" s="117"/>
      <c r="S420" s="118"/>
      <c r="T420" s="119"/>
      <c r="W420" s="113"/>
      <c r="X420" s="113"/>
    </row>
    <row r="421" spans="1:24" s="123" customFormat="1" x14ac:dyDescent="0.3">
      <c r="A421" s="120"/>
      <c r="B421" s="120"/>
      <c r="C421" s="120"/>
      <c r="D421" s="121"/>
      <c r="E421" s="122"/>
      <c r="F421" s="120"/>
      <c r="G421" s="116"/>
      <c r="H421" s="116"/>
      <c r="I421" s="116"/>
      <c r="J421" s="116"/>
      <c r="K421" s="116"/>
      <c r="L421" s="116"/>
      <c r="M421" s="116"/>
      <c r="N421" s="116"/>
      <c r="O421" s="116"/>
      <c r="P421" s="116"/>
      <c r="Q421" s="116"/>
      <c r="R421" s="117"/>
      <c r="S421" s="118"/>
      <c r="T421" s="119"/>
      <c r="W421" s="113"/>
      <c r="X421" s="113"/>
    </row>
    <row r="422" spans="1:24" s="123" customFormat="1" x14ac:dyDescent="0.3">
      <c r="A422" s="120"/>
      <c r="B422" s="120"/>
      <c r="C422" s="120"/>
      <c r="D422" s="121"/>
      <c r="E422" s="122"/>
      <c r="F422" s="120"/>
      <c r="G422" s="116"/>
      <c r="H422" s="116"/>
      <c r="I422" s="116"/>
      <c r="J422" s="116"/>
      <c r="K422" s="116"/>
      <c r="L422" s="116"/>
      <c r="M422" s="116"/>
      <c r="N422" s="116"/>
      <c r="O422" s="116"/>
      <c r="P422" s="116"/>
      <c r="Q422" s="116"/>
      <c r="R422" s="117"/>
      <c r="S422" s="118"/>
      <c r="T422" s="119"/>
      <c r="W422" s="113"/>
      <c r="X422" s="113"/>
    </row>
    <row r="423" spans="1:24" s="123" customFormat="1" x14ac:dyDescent="0.3">
      <c r="A423" s="120"/>
      <c r="B423" s="120"/>
      <c r="C423" s="120"/>
      <c r="D423" s="121"/>
      <c r="E423" s="122"/>
      <c r="F423" s="120"/>
      <c r="G423" s="116"/>
      <c r="H423" s="116"/>
      <c r="I423" s="116"/>
      <c r="J423" s="116"/>
      <c r="K423" s="116"/>
      <c r="L423" s="116"/>
      <c r="M423" s="116"/>
      <c r="N423" s="116"/>
      <c r="O423" s="116"/>
      <c r="P423" s="116"/>
      <c r="Q423" s="116"/>
      <c r="R423" s="117"/>
      <c r="S423" s="118"/>
      <c r="T423" s="119"/>
      <c r="W423" s="113"/>
      <c r="X423" s="113"/>
    </row>
    <row r="424" spans="1:24" s="123" customFormat="1" x14ac:dyDescent="0.3">
      <c r="A424" s="120"/>
      <c r="B424" s="120"/>
      <c r="C424" s="120"/>
      <c r="D424" s="121"/>
      <c r="E424" s="122"/>
      <c r="F424" s="120"/>
      <c r="G424" s="116"/>
      <c r="H424" s="116"/>
      <c r="I424" s="116"/>
      <c r="J424" s="116"/>
      <c r="K424" s="116"/>
      <c r="L424" s="116"/>
      <c r="M424" s="116"/>
      <c r="N424" s="116"/>
      <c r="O424" s="116"/>
      <c r="P424" s="116"/>
      <c r="Q424" s="116"/>
      <c r="R424" s="117"/>
      <c r="S424" s="118"/>
      <c r="T424" s="119"/>
      <c r="W424" s="113"/>
      <c r="X424" s="113"/>
    </row>
    <row r="425" spans="1:24" s="123" customFormat="1" x14ac:dyDescent="0.3">
      <c r="A425" s="120"/>
      <c r="B425" s="120"/>
      <c r="C425" s="120"/>
      <c r="D425" s="121"/>
      <c r="E425" s="122"/>
      <c r="F425" s="120"/>
      <c r="G425" s="116"/>
      <c r="H425" s="116"/>
      <c r="I425" s="116"/>
      <c r="J425" s="116"/>
      <c r="K425" s="116"/>
      <c r="L425" s="116"/>
      <c r="M425" s="116"/>
      <c r="N425" s="116"/>
      <c r="O425" s="116"/>
      <c r="P425" s="116"/>
      <c r="Q425" s="116"/>
      <c r="R425" s="117"/>
      <c r="S425" s="118"/>
      <c r="T425" s="119"/>
      <c r="W425" s="113"/>
      <c r="X425" s="113"/>
    </row>
    <row r="426" spans="1:24" s="123" customFormat="1" x14ac:dyDescent="0.3">
      <c r="A426" s="120"/>
      <c r="B426" s="120"/>
      <c r="C426" s="120"/>
      <c r="D426" s="121"/>
      <c r="E426" s="122"/>
      <c r="F426" s="120"/>
      <c r="G426" s="116"/>
      <c r="H426" s="116"/>
      <c r="I426" s="116"/>
      <c r="J426" s="116"/>
      <c r="K426" s="116"/>
      <c r="L426" s="116"/>
      <c r="M426" s="116"/>
      <c r="N426" s="116"/>
      <c r="O426" s="116"/>
      <c r="P426" s="116"/>
      <c r="Q426" s="116"/>
      <c r="R426" s="117"/>
      <c r="S426" s="118"/>
      <c r="T426" s="119"/>
      <c r="W426" s="113"/>
      <c r="X426" s="113"/>
    </row>
    <row r="427" spans="1:24" s="123" customFormat="1" x14ac:dyDescent="0.3">
      <c r="A427" s="120"/>
      <c r="B427" s="120"/>
      <c r="C427" s="120"/>
      <c r="D427" s="121"/>
      <c r="E427" s="122"/>
      <c r="F427" s="120"/>
      <c r="G427" s="116"/>
      <c r="H427" s="116"/>
      <c r="I427" s="116"/>
      <c r="J427" s="116"/>
      <c r="K427" s="116"/>
      <c r="L427" s="116"/>
      <c r="M427" s="116"/>
      <c r="N427" s="116"/>
      <c r="O427" s="116"/>
      <c r="P427" s="116"/>
      <c r="Q427" s="116"/>
      <c r="R427" s="117"/>
      <c r="S427" s="118"/>
      <c r="T427" s="119"/>
      <c r="W427" s="113"/>
      <c r="X427" s="113"/>
    </row>
    <row r="428" spans="1:24" s="123" customFormat="1" x14ac:dyDescent="0.3">
      <c r="A428" s="120"/>
      <c r="B428" s="120"/>
      <c r="C428" s="120"/>
      <c r="D428" s="121"/>
      <c r="E428" s="122"/>
      <c r="F428" s="120"/>
      <c r="G428" s="116"/>
      <c r="H428" s="116"/>
      <c r="I428" s="116"/>
      <c r="J428" s="116"/>
      <c r="K428" s="116"/>
      <c r="L428" s="116"/>
      <c r="M428" s="116"/>
      <c r="N428" s="116"/>
      <c r="O428" s="116"/>
      <c r="P428" s="116"/>
      <c r="Q428" s="116"/>
      <c r="R428" s="117"/>
      <c r="S428" s="118"/>
      <c r="T428" s="119"/>
      <c r="W428" s="113"/>
      <c r="X428" s="113"/>
    </row>
    <row r="429" spans="1:24" s="123" customFormat="1" x14ac:dyDescent="0.3">
      <c r="A429" s="120"/>
      <c r="B429" s="120"/>
      <c r="C429" s="120"/>
      <c r="D429" s="121"/>
      <c r="E429" s="122"/>
      <c r="F429" s="120"/>
      <c r="G429" s="116"/>
      <c r="H429" s="116"/>
      <c r="I429" s="116"/>
      <c r="J429" s="116"/>
      <c r="K429" s="116"/>
      <c r="L429" s="116"/>
      <c r="M429" s="116"/>
      <c r="N429" s="116"/>
      <c r="O429" s="116"/>
      <c r="P429" s="116"/>
      <c r="Q429" s="116"/>
      <c r="R429" s="117"/>
      <c r="S429" s="118"/>
      <c r="T429" s="119"/>
      <c r="W429" s="113"/>
      <c r="X429" s="113"/>
    </row>
    <row r="430" spans="1:24" s="123" customFormat="1" x14ac:dyDescent="0.3">
      <c r="A430" s="120"/>
      <c r="B430" s="120"/>
      <c r="C430" s="120"/>
      <c r="D430" s="121"/>
      <c r="E430" s="122"/>
      <c r="F430" s="120"/>
      <c r="G430" s="116"/>
      <c r="H430" s="116"/>
      <c r="I430" s="116"/>
      <c r="J430" s="116"/>
      <c r="K430" s="116"/>
      <c r="L430" s="116"/>
      <c r="M430" s="116"/>
      <c r="N430" s="116"/>
      <c r="O430" s="116"/>
      <c r="P430" s="116"/>
      <c r="Q430" s="116"/>
      <c r="R430" s="117"/>
      <c r="S430" s="118"/>
      <c r="T430" s="119"/>
      <c r="W430" s="113"/>
      <c r="X430" s="113"/>
    </row>
    <row r="431" spans="1:24" s="123" customFormat="1" x14ac:dyDescent="0.3">
      <c r="A431" s="120"/>
      <c r="B431" s="120"/>
      <c r="C431" s="120"/>
      <c r="D431" s="121"/>
      <c r="E431" s="122"/>
      <c r="F431" s="120"/>
      <c r="G431" s="116"/>
      <c r="H431" s="116"/>
      <c r="I431" s="116"/>
      <c r="J431" s="116"/>
      <c r="K431" s="116"/>
      <c r="L431" s="116"/>
      <c r="M431" s="116"/>
      <c r="N431" s="116"/>
      <c r="O431" s="116"/>
      <c r="P431" s="116"/>
      <c r="Q431" s="116"/>
      <c r="R431" s="117"/>
      <c r="S431" s="118"/>
      <c r="T431" s="119"/>
      <c r="W431" s="113"/>
      <c r="X431" s="113"/>
    </row>
    <row r="432" spans="1:24" s="123" customFormat="1" x14ac:dyDescent="0.3">
      <c r="A432" s="120"/>
      <c r="B432" s="120"/>
      <c r="C432" s="120"/>
      <c r="D432" s="121"/>
      <c r="E432" s="122"/>
      <c r="F432" s="120"/>
      <c r="G432" s="116"/>
      <c r="H432" s="116"/>
      <c r="I432" s="116"/>
      <c r="J432" s="116"/>
      <c r="K432" s="116"/>
      <c r="L432" s="116"/>
      <c r="M432" s="116"/>
      <c r="N432" s="116"/>
      <c r="O432" s="116"/>
      <c r="P432" s="116"/>
      <c r="Q432" s="116"/>
      <c r="R432" s="117"/>
      <c r="S432" s="118"/>
      <c r="T432" s="119"/>
      <c r="W432" s="113"/>
      <c r="X432" s="113"/>
    </row>
    <row r="433" spans="1:24" s="123" customFormat="1" x14ac:dyDescent="0.3">
      <c r="A433" s="120"/>
      <c r="B433" s="120"/>
      <c r="C433" s="120"/>
      <c r="D433" s="121"/>
      <c r="E433" s="122"/>
      <c r="F433" s="120"/>
      <c r="G433" s="116"/>
      <c r="H433" s="116"/>
      <c r="I433" s="116"/>
      <c r="J433" s="116"/>
      <c r="K433" s="116"/>
      <c r="L433" s="116"/>
      <c r="M433" s="116"/>
      <c r="N433" s="116"/>
      <c r="O433" s="116"/>
      <c r="P433" s="116"/>
      <c r="Q433" s="116"/>
      <c r="R433" s="117"/>
      <c r="S433" s="118"/>
      <c r="T433" s="119"/>
      <c r="W433" s="113"/>
      <c r="X433" s="113"/>
    </row>
    <row r="434" spans="1:24" s="123" customFormat="1" x14ac:dyDescent="0.3">
      <c r="A434" s="120"/>
      <c r="B434" s="120"/>
      <c r="C434" s="120"/>
      <c r="D434" s="121"/>
      <c r="E434" s="122"/>
      <c r="F434" s="120"/>
      <c r="G434" s="116"/>
      <c r="H434" s="116"/>
      <c r="I434" s="116"/>
      <c r="J434" s="116"/>
      <c r="K434" s="116"/>
      <c r="L434" s="116"/>
      <c r="M434" s="116"/>
      <c r="N434" s="116"/>
      <c r="O434" s="116"/>
      <c r="P434" s="116"/>
      <c r="Q434" s="116"/>
      <c r="R434" s="117"/>
      <c r="S434" s="118"/>
      <c r="T434" s="119"/>
      <c r="W434" s="113"/>
      <c r="X434" s="113"/>
    </row>
    <row r="435" spans="1:24" s="123" customFormat="1" x14ac:dyDescent="0.3">
      <c r="A435" s="120"/>
      <c r="B435" s="120"/>
      <c r="C435" s="120"/>
      <c r="D435" s="121"/>
      <c r="E435" s="122"/>
      <c r="F435" s="120"/>
      <c r="G435" s="116"/>
      <c r="H435" s="116"/>
      <c r="I435" s="116"/>
      <c r="J435" s="116"/>
      <c r="K435" s="116"/>
      <c r="L435" s="116"/>
      <c r="M435" s="116"/>
      <c r="N435" s="116"/>
      <c r="O435" s="116"/>
      <c r="P435" s="116"/>
      <c r="Q435" s="116"/>
      <c r="R435" s="117"/>
      <c r="S435" s="118"/>
      <c r="T435" s="119"/>
      <c r="W435" s="113"/>
      <c r="X435" s="113"/>
    </row>
    <row r="436" spans="1:24" s="123" customFormat="1" x14ac:dyDescent="0.3">
      <c r="A436" s="120"/>
      <c r="B436" s="120"/>
      <c r="C436" s="120"/>
      <c r="D436" s="121"/>
      <c r="E436" s="122"/>
      <c r="F436" s="120"/>
      <c r="G436" s="116"/>
      <c r="H436" s="116"/>
      <c r="I436" s="116"/>
      <c r="J436" s="116"/>
      <c r="K436" s="116"/>
      <c r="L436" s="116"/>
      <c r="M436" s="116"/>
      <c r="N436" s="116"/>
      <c r="O436" s="116"/>
      <c r="P436" s="116"/>
      <c r="Q436" s="116"/>
      <c r="R436" s="117"/>
      <c r="S436" s="118"/>
      <c r="T436" s="119"/>
      <c r="W436" s="113"/>
      <c r="X436" s="113"/>
    </row>
    <row r="437" spans="1:24" s="123" customFormat="1" x14ac:dyDescent="0.3">
      <c r="A437" s="120"/>
      <c r="B437" s="120"/>
      <c r="C437" s="120"/>
      <c r="D437" s="121"/>
      <c r="E437" s="122"/>
      <c r="F437" s="120"/>
      <c r="G437" s="116"/>
      <c r="H437" s="116"/>
      <c r="I437" s="116"/>
      <c r="J437" s="116"/>
      <c r="K437" s="116"/>
      <c r="L437" s="116"/>
      <c r="M437" s="116"/>
      <c r="N437" s="116"/>
      <c r="O437" s="116"/>
      <c r="P437" s="116"/>
      <c r="Q437" s="116"/>
      <c r="R437" s="117"/>
      <c r="S437" s="118"/>
      <c r="T437" s="119"/>
      <c r="W437" s="113"/>
      <c r="X437" s="113"/>
    </row>
    <row r="438" spans="1:24" s="123" customFormat="1" x14ac:dyDescent="0.3">
      <c r="A438" s="120"/>
      <c r="B438" s="120"/>
      <c r="C438" s="120"/>
      <c r="D438" s="121"/>
      <c r="E438" s="122"/>
      <c r="F438" s="120"/>
      <c r="G438" s="116"/>
      <c r="H438" s="116"/>
      <c r="I438" s="116"/>
      <c r="J438" s="116"/>
      <c r="K438" s="116"/>
      <c r="L438" s="116"/>
      <c r="M438" s="116"/>
      <c r="N438" s="116"/>
      <c r="O438" s="116"/>
      <c r="P438" s="116"/>
      <c r="Q438" s="116"/>
      <c r="R438" s="117"/>
      <c r="S438" s="118"/>
      <c r="T438" s="119"/>
      <c r="W438" s="113"/>
      <c r="X438" s="113"/>
    </row>
    <row r="439" spans="1:24" s="123" customFormat="1" x14ac:dyDescent="0.3">
      <c r="A439" s="120"/>
      <c r="B439" s="120"/>
      <c r="C439" s="120"/>
      <c r="D439" s="121"/>
      <c r="E439" s="122"/>
      <c r="F439" s="120"/>
      <c r="G439" s="116"/>
      <c r="H439" s="116"/>
      <c r="I439" s="116"/>
      <c r="J439" s="116"/>
      <c r="K439" s="116"/>
      <c r="L439" s="116"/>
      <c r="M439" s="116"/>
      <c r="N439" s="116"/>
      <c r="O439" s="116"/>
      <c r="P439" s="116"/>
      <c r="Q439" s="116"/>
      <c r="R439" s="117"/>
      <c r="S439" s="118"/>
      <c r="T439" s="119"/>
      <c r="W439" s="113"/>
      <c r="X439" s="113"/>
    </row>
    <row r="440" spans="1:24" s="123" customFormat="1" x14ac:dyDescent="0.3">
      <c r="A440" s="120"/>
      <c r="B440" s="120"/>
      <c r="C440" s="120"/>
      <c r="D440" s="121"/>
      <c r="E440" s="122"/>
      <c r="F440" s="120"/>
      <c r="G440" s="116"/>
      <c r="H440" s="116"/>
      <c r="I440" s="116"/>
      <c r="J440" s="116"/>
      <c r="K440" s="116"/>
      <c r="L440" s="116"/>
      <c r="M440" s="116"/>
      <c r="N440" s="116"/>
      <c r="O440" s="116"/>
      <c r="P440" s="116"/>
      <c r="Q440" s="116"/>
      <c r="R440" s="117"/>
      <c r="S440" s="118"/>
      <c r="T440" s="119"/>
      <c r="W440" s="113"/>
      <c r="X440" s="113"/>
    </row>
    <row r="441" spans="1:24" s="123" customFormat="1" x14ac:dyDescent="0.3">
      <c r="A441" s="120"/>
      <c r="B441" s="120"/>
      <c r="C441" s="120"/>
      <c r="D441" s="121"/>
      <c r="E441" s="122"/>
      <c r="F441" s="120"/>
      <c r="G441" s="116"/>
      <c r="H441" s="116"/>
      <c r="I441" s="116"/>
      <c r="J441" s="116"/>
      <c r="K441" s="116"/>
      <c r="L441" s="116"/>
      <c r="M441" s="116"/>
      <c r="N441" s="116"/>
      <c r="O441" s="116"/>
      <c r="P441" s="116"/>
      <c r="Q441" s="116"/>
      <c r="R441" s="117"/>
      <c r="S441" s="118"/>
      <c r="T441" s="119"/>
      <c r="W441" s="113"/>
      <c r="X441" s="113"/>
    </row>
    <row r="442" spans="1:24" s="123" customFormat="1" x14ac:dyDescent="0.3">
      <c r="A442" s="120"/>
      <c r="B442" s="120"/>
      <c r="C442" s="120"/>
      <c r="D442" s="121"/>
      <c r="E442" s="122"/>
      <c r="F442" s="120"/>
      <c r="G442" s="116"/>
      <c r="H442" s="116"/>
      <c r="I442" s="116"/>
      <c r="J442" s="116"/>
      <c r="K442" s="116"/>
      <c r="L442" s="116"/>
      <c r="M442" s="116"/>
      <c r="N442" s="116"/>
      <c r="O442" s="116"/>
      <c r="P442" s="116"/>
      <c r="Q442" s="116"/>
      <c r="R442" s="117"/>
      <c r="S442" s="118"/>
      <c r="T442" s="119"/>
      <c r="W442" s="113"/>
      <c r="X442" s="113"/>
    </row>
    <row r="443" spans="1:24" s="123" customFormat="1" x14ac:dyDescent="0.3">
      <c r="A443" s="120"/>
      <c r="B443" s="120"/>
      <c r="C443" s="120"/>
      <c r="D443" s="121"/>
      <c r="E443" s="122"/>
      <c r="F443" s="120"/>
      <c r="G443" s="116"/>
      <c r="H443" s="116"/>
      <c r="I443" s="116"/>
      <c r="J443" s="116"/>
      <c r="K443" s="116"/>
      <c r="L443" s="116"/>
      <c r="M443" s="116"/>
      <c r="N443" s="116"/>
      <c r="O443" s="116"/>
      <c r="P443" s="116"/>
      <c r="Q443" s="116"/>
      <c r="R443" s="117"/>
      <c r="S443" s="118"/>
      <c r="T443" s="119"/>
      <c r="W443" s="113"/>
      <c r="X443" s="113"/>
    </row>
    <row r="444" spans="1:24" s="123" customFormat="1" x14ac:dyDescent="0.3">
      <c r="A444" s="120"/>
      <c r="B444" s="120"/>
      <c r="C444" s="120"/>
      <c r="D444" s="121"/>
      <c r="E444" s="122"/>
      <c r="F444" s="120"/>
      <c r="G444" s="116"/>
      <c r="H444" s="116"/>
      <c r="I444" s="116"/>
      <c r="J444" s="116"/>
      <c r="K444" s="116"/>
      <c r="L444" s="116"/>
      <c r="M444" s="116"/>
      <c r="N444" s="116"/>
      <c r="O444" s="116"/>
      <c r="P444" s="116"/>
      <c r="Q444" s="116"/>
      <c r="R444" s="117"/>
      <c r="S444" s="118"/>
      <c r="T444" s="119"/>
      <c r="W444" s="113"/>
      <c r="X444" s="113"/>
    </row>
    <row r="445" spans="1:24" s="123" customFormat="1" x14ac:dyDescent="0.3">
      <c r="A445" s="120"/>
      <c r="B445" s="120"/>
      <c r="C445" s="120"/>
      <c r="D445" s="121"/>
      <c r="E445" s="122"/>
      <c r="F445" s="120"/>
      <c r="G445" s="116"/>
      <c r="H445" s="116"/>
      <c r="I445" s="116"/>
      <c r="J445" s="116"/>
      <c r="K445" s="116"/>
      <c r="L445" s="116"/>
      <c r="M445" s="116"/>
      <c r="N445" s="116"/>
      <c r="O445" s="116"/>
      <c r="P445" s="116"/>
      <c r="Q445" s="116"/>
      <c r="R445" s="117"/>
      <c r="S445" s="118"/>
      <c r="T445" s="119"/>
      <c r="W445" s="113"/>
      <c r="X445" s="113"/>
    </row>
    <row r="446" spans="1:24" s="123" customFormat="1" x14ac:dyDescent="0.3">
      <c r="A446" s="120"/>
      <c r="B446" s="120"/>
      <c r="C446" s="120"/>
      <c r="D446" s="121"/>
      <c r="E446" s="122"/>
      <c r="F446" s="120"/>
      <c r="G446" s="116"/>
      <c r="H446" s="116"/>
      <c r="I446" s="116"/>
      <c r="J446" s="116"/>
      <c r="K446" s="116"/>
      <c r="L446" s="116"/>
      <c r="M446" s="116"/>
      <c r="N446" s="116"/>
      <c r="O446" s="116"/>
      <c r="P446" s="116"/>
      <c r="Q446" s="116"/>
      <c r="R446" s="117"/>
      <c r="S446" s="118"/>
      <c r="T446" s="119"/>
      <c r="W446" s="113"/>
      <c r="X446" s="113"/>
    </row>
    <row r="447" spans="1:24" s="123" customFormat="1" x14ac:dyDescent="0.3">
      <c r="A447" s="120"/>
      <c r="B447" s="120"/>
      <c r="C447" s="120"/>
      <c r="D447" s="121"/>
      <c r="E447" s="122"/>
      <c r="F447" s="120"/>
      <c r="G447" s="116"/>
      <c r="H447" s="116"/>
      <c r="I447" s="116"/>
      <c r="J447" s="116"/>
      <c r="K447" s="116"/>
      <c r="L447" s="116"/>
      <c r="M447" s="116"/>
      <c r="N447" s="116"/>
      <c r="O447" s="116"/>
      <c r="P447" s="116"/>
      <c r="Q447" s="116"/>
      <c r="R447" s="117"/>
      <c r="S447" s="118"/>
      <c r="T447" s="119"/>
      <c r="W447" s="113"/>
      <c r="X447" s="113"/>
    </row>
    <row r="448" spans="1:24" s="123" customFormat="1" x14ac:dyDescent="0.3">
      <c r="A448" s="120"/>
      <c r="B448" s="120"/>
      <c r="C448" s="120"/>
      <c r="D448" s="121"/>
      <c r="E448" s="122"/>
      <c r="F448" s="120"/>
      <c r="G448" s="116"/>
      <c r="H448" s="116"/>
      <c r="I448" s="116"/>
      <c r="J448" s="116"/>
      <c r="K448" s="116"/>
      <c r="L448" s="116"/>
      <c r="M448" s="116"/>
      <c r="N448" s="116"/>
      <c r="O448" s="116"/>
      <c r="P448" s="116"/>
      <c r="Q448" s="116"/>
      <c r="R448" s="117"/>
      <c r="S448" s="118"/>
      <c r="T448" s="119"/>
      <c r="W448" s="113"/>
      <c r="X448" s="113"/>
    </row>
    <row r="449" spans="1:24" s="123" customFormat="1" x14ac:dyDescent="0.3">
      <c r="A449" s="120"/>
      <c r="B449" s="120"/>
      <c r="C449" s="120"/>
      <c r="D449" s="121"/>
      <c r="E449" s="122"/>
      <c r="F449" s="120"/>
      <c r="G449" s="116"/>
      <c r="H449" s="116"/>
      <c r="I449" s="116"/>
      <c r="J449" s="116"/>
      <c r="K449" s="116"/>
      <c r="L449" s="116"/>
      <c r="M449" s="116"/>
      <c r="N449" s="116"/>
      <c r="O449" s="116"/>
      <c r="P449" s="116"/>
      <c r="Q449" s="116"/>
      <c r="R449" s="117"/>
      <c r="S449" s="118"/>
      <c r="T449" s="119"/>
      <c r="W449" s="113"/>
      <c r="X449" s="113"/>
    </row>
    <row r="450" spans="1:24" s="123" customFormat="1" x14ac:dyDescent="0.3">
      <c r="A450" s="120"/>
      <c r="B450" s="120"/>
      <c r="C450" s="120"/>
      <c r="D450" s="121"/>
      <c r="E450" s="122"/>
      <c r="F450" s="120"/>
      <c r="G450" s="116"/>
      <c r="H450" s="116"/>
      <c r="I450" s="116"/>
      <c r="J450" s="116"/>
      <c r="K450" s="116"/>
      <c r="L450" s="116"/>
      <c r="M450" s="116"/>
      <c r="N450" s="116"/>
      <c r="O450" s="116"/>
      <c r="P450" s="116"/>
      <c r="Q450" s="116"/>
      <c r="R450" s="117"/>
      <c r="S450" s="118"/>
      <c r="T450" s="119"/>
      <c r="W450" s="113"/>
      <c r="X450" s="113"/>
    </row>
    <row r="451" spans="1:24" s="123" customFormat="1" x14ac:dyDescent="0.3">
      <c r="A451" s="120"/>
      <c r="B451" s="120"/>
      <c r="C451" s="120"/>
      <c r="D451" s="121"/>
      <c r="E451" s="122"/>
      <c r="F451" s="120"/>
      <c r="G451" s="116"/>
      <c r="H451" s="116"/>
      <c r="I451" s="116"/>
      <c r="J451" s="116"/>
      <c r="K451" s="116"/>
      <c r="L451" s="116"/>
      <c r="M451" s="116"/>
      <c r="N451" s="116"/>
      <c r="O451" s="116"/>
      <c r="P451" s="116"/>
      <c r="Q451" s="116"/>
      <c r="R451" s="117"/>
      <c r="S451" s="118"/>
      <c r="T451" s="119"/>
      <c r="W451" s="113"/>
      <c r="X451" s="113"/>
    </row>
    <row r="452" spans="1:24" s="123" customFormat="1" x14ac:dyDescent="0.3">
      <c r="A452" s="120"/>
      <c r="B452" s="120"/>
      <c r="C452" s="120"/>
      <c r="D452" s="121"/>
      <c r="E452" s="122"/>
      <c r="F452" s="120"/>
      <c r="G452" s="116"/>
      <c r="H452" s="116"/>
      <c r="I452" s="116"/>
      <c r="J452" s="116"/>
      <c r="K452" s="116"/>
      <c r="L452" s="116"/>
      <c r="M452" s="116"/>
      <c r="N452" s="116"/>
      <c r="O452" s="116"/>
      <c r="P452" s="116"/>
      <c r="Q452" s="116"/>
      <c r="R452" s="117"/>
      <c r="S452" s="118"/>
      <c r="T452" s="119"/>
      <c r="W452" s="113"/>
      <c r="X452" s="113"/>
    </row>
    <row r="453" spans="1:24" s="123" customFormat="1" x14ac:dyDescent="0.3">
      <c r="A453" s="120"/>
      <c r="B453" s="120"/>
      <c r="C453" s="120"/>
      <c r="D453" s="121"/>
      <c r="E453" s="122"/>
      <c r="F453" s="120"/>
      <c r="G453" s="116"/>
      <c r="H453" s="116"/>
      <c r="I453" s="116"/>
      <c r="J453" s="116"/>
      <c r="K453" s="116"/>
      <c r="L453" s="116"/>
      <c r="M453" s="116"/>
      <c r="N453" s="116"/>
      <c r="O453" s="116"/>
      <c r="P453" s="116"/>
      <c r="Q453" s="116"/>
      <c r="R453" s="117"/>
      <c r="S453" s="118"/>
      <c r="T453" s="119"/>
      <c r="W453" s="113"/>
      <c r="X453" s="113"/>
    </row>
    <row r="454" spans="1:24" s="123" customFormat="1" x14ac:dyDescent="0.3">
      <c r="A454" s="120"/>
      <c r="B454" s="120"/>
      <c r="C454" s="120"/>
      <c r="D454" s="121"/>
      <c r="E454" s="122"/>
      <c r="F454" s="120"/>
      <c r="G454" s="116"/>
      <c r="H454" s="116"/>
      <c r="I454" s="116"/>
      <c r="J454" s="116"/>
      <c r="K454" s="116"/>
      <c r="L454" s="116"/>
      <c r="M454" s="116"/>
      <c r="N454" s="116"/>
      <c r="O454" s="116"/>
      <c r="P454" s="116"/>
      <c r="Q454" s="116"/>
      <c r="R454" s="117"/>
      <c r="S454" s="118"/>
      <c r="T454" s="119"/>
      <c r="W454" s="113"/>
      <c r="X454" s="113"/>
    </row>
    <row r="455" spans="1:24" s="123" customFormat="1" x14ac:dyDescent="0.3">
      <c r="A455" s="120"/>
      <c r="B455" s="120"/>
      <c r="C455" s="120"/>
      <c r="D455" s="121"/>
      <c r="E455" s="122"/>
      <c r="F455" s="120"/>
      <c r="G455" s="116"/>
      <c r="H455" s="116"/>
      <c r="I455" s="116"/>
      <c r="J455" s="116"/>
      <c r="K455" s="116"/>
      <c r="L455" s="116"/>
      <c r="M455" s="116"/>
      <c r="N455" s="116"/>
      <c r="O455" s="116"/>
      <c r="P455" s="116"/>
      <c r="Q455" s="116"/>
      <c r="R455" s="117"/>
      <c r="S455" s="118"/>
      <c r="T455" s="119"/>
      <c r="W455" s="113"/>
      <c r="X455" s="113"/>
    </row>
    <row r="456" spans="1:24" s="123" customFormat="1" x14ac:dyDescent="0.3">
      <c r="A456" s="120"/>
      <c r="B456" s="120"/>
      <c r="C456" s="120"/>
      <c r="D456" s="121"/>
      <c r="E456" s="122"/>
      <c r="F456" s="120"/>
      <c r="G456" s="116"/>
      <c r="H456" s="116"/>
      <c r="I456" s="116"/>
      <c r="J456" s="116"/>
      <c r="K456" s="116"/>
      <c r="L456" s="116"/>
      <c r="M456" s="116"/>
      <c r="N456" s="116"/>
      <c r="O456" s="116"/>
      <c r="P456" s="116"/>
      <c r="Q456" s="116"/>
      <c r="R456" s="117"/>
      <c r="S456" s="118"/>
      <c r="T456" s="119"/>
      <c r="W456" s="113"/>
      <c r="X456" s="113"/>
    </row>
    <row r="457" spans="1:24" s="123" customFormat="1" x14ac:dyDescent="0.3">
      <c r="A457" s="120"/>
      <c r="B457" s="120"/>
      <c r="C457" s="120"/>
      <c r="D457" s="121"/>
      <c r="E457" s="122"/>
      <c r="F457" s="120"/>
      <c r="G457" s="116"/>
      <c r="H457" s="116"/>
      <c r="I457" s="116"/>
      <c r="J457" s="116"/>
      <c r="K457" s="116"/>
      <c r="L457" s="116"/>
      <c r="M457" s="116"/>
      <c r="N457" s="116"/>
      <c r="O457" s="116"/>
      <c r="P457" s="116"/>
      <c r="Q457" s="116"/>
      <c r="R457" s="117"/>
      <c r="S457" s="118"/>
      <c r="T457" s="119"/>
      <c r="W457" s="113"/>
      <c r="X457" s="113"/>
    </row>
    <row r="458" spans="1:24" s="123" customFormat="1" x14ac:dyDescent="0.3">
      <c r="A458" s="120"/>
      <c r="B458" s="120"/>
      <c r="C458" s="120"/>
      <c r="D458" s="121"/>
      <c r="E458" s="122"/>
      <c r="F458" s="120"/>
      <c r="G458" s="116"/>
      <c r="H458" s="116"/>
      <c r="I458" s="116"/>
      <c r="J458" s="116"/>
      <c r="K458" s="116"/>
      <c r="L458" s="116"/>
      <c r="M458" s="116"/>
      <c r="N458" s="116"/>
      <c r="O458" s="116"/>
      <c r="P458" s="116"/>
      <c r="Q458" s="116"/>
      <c r="R458" s="117"/>
      <c r="S458" s="118"/>
      <c r="T458" s="119"/>
      <c r="W458" s="113"/>
      <c r="X458" s="113"/>
    </row>
    <row r="459" spans="1:24" s="123" customFormat="1" x14ac:dyDescent="0.3">
      <c r="A459" s="120"/>
      <c r="B459" s="120"/>
      <c r="C459" s="120"/>
      <c r="D459" s="121"/>
      <c r="E459" s="122"/>
      <c r="F459" s="120"/>
      <c r="G459" s="116"/>
      <c r="H459" s="116"/>
      <c r="I459" s="116"/>
      <c r="J459" s="116"/>
      <c r="K459" s="116"/>
      <c r="L459" s="116"/>
      <c r="M459" s="116"/>
      <c r="N459" s="116"/>
      <c r="O459" s="116"/>
      <c r="P459" s="116"/>
      <c r="Q459" s="116"/>
      <c r="R459" s="117"/>
      <c r="S459" s="118"/>
      <c r="T459" s="119"/>
      <c r="W459" s="113"/>
      <c r="X459" s="113"/>
    </row>
    <row r="460" spans="1:24" s="123" customFormat="1" x14ac:dyDescent="0.3">
      <c r="A460" s="120"/>
      <c r="B460" s="120"/>
      <c r="C460" s="120"/>
      <c r="D460" s="121"/>
      <c r="E460" s="122"/>
      <c r="F460" s="120"/>
      <c r="G460" s="116"/>
      <c r="H460" s="116"/>
      <c r="I460" s="116"/>
      <c r="J460" s="116"/>
      <c r="K460" s="116"/>
      <c r="L460" s="116"/>
      <c r="M460" s="116"/>
      <c r="N460" s="116"/>
      <c r="O460" s="116"/>
      <c r="P460" s="116"/>
      <c r="Q460" s="116"/>
      <c r="R460" s="117"/>
      <c r="S460" s="118"/>
      <c r="T460" s="119"/>
      <c r="W460" s="113"/>
      <c r="X460" s="113"/>
    </row>
    <row r="461" spans="1:24" s="123" customFormat="1" x14ac:dyDescent="0.3">
      <c r="A461" s="120"/>
      <c r="B461" s="120"/>
      <c r="C461" s="120"/>
      <c r="D461" s="121"/>
      <c r="E461" s="122"/>
      <c r="F461" s="120"/>
      <c r="G461" s="116"/>
      <c r="H461" s="116"/>
      <c r="I461" s="116"/>
      <c r="J461" s="116"/>
      <c r="K461" s="116"/>
      <c r="L461" s="116"/>
      <c r="M461" s="116"/>
      <c r="N461" s="116"/>
      <c r="O461" s="116"/>
      <c r="P461" s="116"/>
      <c r="Q461" s="116"/>
      <c r="R461" s="117"/>
      <c r="S461" s="118"/>
      <c r="T461" s="119"/>
      <c r="W461" s="113"/>
      <c r="X461" s="113"/>
    </row>
    <row r="462" spans="1:24" s="123" customFormat="1" x14ac:dyDescent="0.3">
      <c r="A462" s="120"/>
      <c r="B462" s="120"/>
      <c r="C462" s="120"/>
      <c r="D462" s="121"/>
      <c r="E462" s="122"/>
      <c r="F462" s="120"/>
      <c r="G462" s="116"/>
      <c r="H462" s="116"/>
      <c r="I462" s="116"/>
      <c r="J462" s="116"/>
      <c r="K462" s="116"/>
      <c r="L462" s="116"/>
      <c r="M462" s="116"/>
      <c r="N462" s="116"/>
      <c r="O462" s="116"/>
      <c r="P462" s="116"/>
      <c r="Q462" s="116"/>
      <c r="R462" s="117"/>
      <c r="S462" s="118"/>
      <c r="T462" s="119"/>
      <c r="W462" s="113"/>
      <c r="X462" s="113"/>
    </row>
    <row r="463" spans="1:24" s="123" customFormat="1" x14ac:dyDescent="0.3">
      <c r="A463" s="120"/>
      <c r="B463" s="120"/>
      <c r="C463" s="120"/>
      <c r="D463" s="121"/>
      <c r="E463" s="122"/>
      <c r="F463" s="120"/>
      <c r="G463" s="116"/>
      <c r="H463" s="116"/>
      <c r="I463" s="116"/>
      <c r="J463" s="116"/>
      <c r="K463" s="116"/>
      <c r="L463" s="116"/>
      <c r="M463" s="116"/>
      <c r="N463" s="116"/>
      <c r="O463" s="116"/>
      <c r="P463" s="116"/>
      <c r="Q463" s="116"/>
      <c r="R463" s="117"/>
      <c r="S463" s="118"/>
      <c r="T463" s="119"/>
      <c r="W463" s="113"/>
      <c r="X463" s="113"/>
    </row>
    <row r="464" spans="1:24" s="123" customFormat="1" x14ac:dyDescent="0.3">
      <c r="A464" s="120"/>
      <c r="B464" s="120"/>
      <c r="C464" s="120"/>
      <c r="D464" s="121"/>
      <c r="E464" s="122"/>
      <c r="F464" s="120"/>
      <c r="G464" s="116"/>
      <c r="H464" s="116"/>
      <c r="I464" s="116"/>
      <c r="J464" s="116"/>
      <c r="K464" s="116"/>
      <c r="L464" s="116"/>
      <c r="M464" s="116"/>
      <c r="N464" s="116"/>
      <c r="O464" s="116"/>
      <c r="P464" s="116"/>
      <c r="Q464" s="116"/>
      <c r="R464" s="117"/>
      <c r="S464" s="118"/>
      <c r="T464" s="119"/>
      <c r="W464" s="113"/>
      <c r="X464" s="113"/>
    </row>
    <row r="465" spans="1:24" s="123" customFormat="1" x14ac:dyDescent="0.3">
      <c r="A465" s="120"/>
      <c r="B465" s="120"/>
      <c r="C465" s="120"/>
      <c r="D465" s="121"/>
      <c r="E465" s="122"/>
      <c r="F465" s="120"/>
      <c r="G465" s="116"/>
      <c r="H465" s="116"/>
      <c r="I465" s="116"/>
      <c r="J465" s="116"/>
      <c r="K465" s="116"/>
      <c r="L465" s="116"/>
      <c r="M465" s="116"/>
      <c r="N465" s="116"/>
      <c r="O465" s="116"/>
      <c r="P465" s="116"/>
      <c r="Q465" s="116"/>
      <c r="R465" s="117"/>
      <c r="S465" s="118"/>
      <c r="T465" s="119"/>
      <c r="W465" s="113"/>
      <c r="X465" s="113"/>
    </row>
    <row r="466" spans="1:24" s="123" customFormat="1" x14ac:dyDescent="0.3">
      <c r="A466" s="120"/>
      <c r="B466" s="120"/>
      <c r="C466" s="120"/>
      <c r="D466" s="121"/>
      <c r="E466" s="122"/>
      <c r="F466" s="120"/>
      <c r="G466" s="116"/>
      <c r="H466" s="116"/>
      <c r="I466" s="116"/>
      <c r="J466" s="116"/>
      <c r="K466" s="116"/>
      <c r="L466" s="116"/>
      <c r="M466" s="116"/>
      <c r="N466" s="116"/>
      <c r="O466" s="116"/>
      <c r="P466" s="116"/>
      <c r="Q466" s="116"/>
      <c r="R466" s="117"/>
      <c r="S466" s="118"/>
      <c r="T466" s="119"/>
      <c r="W466" s="113"/>
      <c r="X466" s="113"/>
    </row>
    <row r="467" spans="1:24" s="123" customFormat="1" x14ac:dyDescent="0.3">
      <c r="A467" s="120"/>
      <c r="B467" s="120"/>
      <c r="C467" s="120"/>
      <c r="D467" s="121"/>
      <c r="E467" s="122"/>
      <c r="F467" s="120"/>
      <c r="G467" s="116"/>
      <c r="H467" s="116"/>
      <c r="I467" s="116"/>
      <c r="J467" s="116"/>
      <c r="K467" s="116"/>
      <c r="L467" s="116"/>
      <c r="M467" s="116"/>
      <c r="N467" s="116"/>
      <c r="O467" s="116"/>
      <c r="P467" s="116"/>
      <c r="Q467" s="116"/>
      <c r="R467" s="117"/>
      <c r="S467" s="118"/>
      <c r="T467" s="119"/>
      <c r="W467" s="113"/>
      <c r="X467" s="113"/>
    </row>
    <row r="468" spans="1:24" s="123" customFormat="1" x14ac:dyDescent="0.3">
      <c r="A468" s="120"/>
      <c r="B468" s="120"/>
      <c r="C468" s="120"/>
      <c r="D468" s="121"/>
      <c r="E468" s="122"/>
      <c r="F468" s="120"/>
      <c r="G468" s="116"/>
      <c r="H468" s="116"/>
      <c r="I468" s="116"/>
      <c r="J468" s="116"/>
      <c r="K468" s="116"/>
      <c r="L468" s="116"/>
      <c r="M468" s="116"/>
      <c r="N468" s="116"/>
      <c r="O468" s="116"/>
      <c r="P468" s="116"/>
      <c r="Q468" s="116"/>
      <c r="R468" s="117"/>
      <c r="S468" s="118"/>
      <c r="T468" s="119"/>
      <c r="W468" s="113"/>
      <c r="X468" s="113"/>
    </row>
    <row r="469" spans="1:24" s="123" customFormat="1" x14ac:dyDescent="0.3">
      <c r="A469" s="120"/>
      <c r="B469" s="120"/>
      <c r="C469" s="120"/>
      <c r="D469" s="121"/>
      <c r="E469" s="122"/>
      <c r="F469" s="120"/>
      <c r="G469" s="116"/>
      <c r="H469" s="116"/>
      <c r="I469" s="116"/>
      <c r="J469" s="116"/>
      <c r="K469" s="116"/>
      <c r="L469" s="116"/>
      <c r="M469" s="116"/>
      <c r="N469" s="116"/>
      <c r="O469" s="116"/>
      <c r="P469" s="116"/>
      <c r="Q469" s="116"/>
      <c r="R469" s="117"/>
      <c r="S469" s="118"/>
      <c r="T469" s="119"/>
      <c r="W469" s="113"/>
      <c r="X469" s="113"/>
    </row>
    <row r="470" spans="1:24" s="123" customFormat="1" x14ac:dyDescent="0.3">
      <c r="A470" s="120"/>
      <c r="B470" s="120"/>
      <c r="C470" s="120"/>
      <c r="D470" s="121"/>
      <c r="E470" s="122"/>
      <c r="F470" s="120"/>
      <c r="G470" s="116"/>
      <c r="H470" s="116"/>
      <c r="I470" s="116"/>
      <c r="J470" s="116"/>
      <c r="K470" s="116"/>
      <c r="L470" s="116"/>
      <c r="M470" s="116"/>
      <c r="N470" s="116"/>
      <c r="O470" s="116"/>
      <c r="P470" s="116"/>
      <c r="Q470" s="116"/>
      <c r="R470" s="117"/>
      <c r="S470" s="118"/>
      <c r="T470" s="119"/>
      <c r="W470" s="113"/>
      <c r="X470" s="113"/>
    </row>
    <row r="471" spans="1:24" s="123" customFormat="1" x14ac:dyDescent="0.3">
      <c r="A471" s="120"/>
      <c r="B471" s="120"/>
      <c r="C471" s="120"/>
      <c r="D471" s="121"/>
      <c r="E471" s="122"/>
      <c r="F471" s="120"/>
      <c r="G471" s="116"/>
      <c r="H471" s="116"/>
      <c r="I471" s="116"/>
      <c r="J471" s="116"/>
      <c r="K471" s="116"/>
      <c r="L471" s="116"/>
      <c r="M471" s="116"/>
      <c r="N471" s="116"/>
      <c r="O471" s="116"/>
      <c r="P471" s="116"/>
      <c r="Q471" s="116"/>
      <c r="R471" s="117"/>
      <c r="S471" s="118"/>
      <c r="T471" s="119"/>
      <c r="W471" s="113"/>
      <c r="X471" s="113"/>
    </row>
    <row r="472" spans="1:24" s="123" customFormat="1" x14ac:dyDescent="0.3">
      <c r="A472" s="120"/>
      <c r="B472" s="120"/>
      <c r="C472" s="120"/>
      <c r="D472" s="121"/>
      <c r="E472" s="122"/>
      <c r="F472" s="120"/>
      <c r="G472" s="116"/>
      <c r="H472" s="116"/>
      <c r="I472" s="116"/>
      <c r="J472" s="116"/>
      <c r="K472" s="116"/>
      <c r="L472" s="116"/>
      <c r="M472" s="116"/>
      <c r="N472" s="116"/>
      <c r="O472" s="116"/>
      <c r="P472" s="116"/>
      <c r="Q472" s="116"/>
      <c r="R472" s="117"/>
      <c r="S472" s="118"/>
      <c r="T472" s="119"/>
      <c r="W472" s="113"/>
      <c r="X472" s="113"/>
    </row>
    <row r="473" spans="1:24" s="123" customFormat="1" x14ac:dyDescent="0.3">
      <c r="A473" s="120"/>
      <c r="B473" s="120"/>
      <c r="C473" s="120"/>
      <c r="D473" s="121"/>
      <c r="E473" s="122"/>
      <c r="F473" s="120"/>
      <c r="G473" s="116"/>
      <c r="H473" s="116"/>
      <c r="I473" s="116"/>
      <c r="J473" s="116"/>
      <c r="K473" s="116"/>
      <c r="L473" s="116"/>
      <c r="M473" s="116"/>
      <c r="N473" s="116"/>
      <c r="O473" s="116"/>
      <c r="P473" s="116"/>
      <c r="Q473" s="116"/>
      <c r="R473" s="117"/>
      <c r="S473" s="118"/>
      <c r="T473" s="119"/>
      <c r="W473" s="113"/>
      <c r="X473" s="113"/>
    </row>
    <row r="474" spans="1:24" s="123" customFormat="1" x14ac:dyDescent="0.3">
      <c r="A474" s="120"/>
      <c r="B474" s="120"/>
      <c r="C474" s="120"/>
      <c r="D474" s="121"/>
      <c r="E474" s="122"/>
      <c r="F474" s="120"/>
      <c r="G474" s="116"/>
      <c r="H474" s="116"/>
      <c r="I474" s="116"/>
      <c r="J474" s="116"/>
      <c r="K474" s="116"/>
      <c r="L474" s="116"/>
      <c r="M474" s="116"/>
      <c r="N474" s="116"/>
      <c r="O474" s="116"/>
      <c r="P474" s="116"/>
      <c r="Q474" s="116"/>
      <c r="R474" s="117"/>
      <c r="S474" s="118"/>
      <c r="T474" s="119"/>
      <c r="W474" s="113"/>
      <c r="X474" s="113"/>
    </row>
    <row r="475" spans="1:24" s="123" customFormat="1" x14ac:dyDescent="0.3">
      <c r="A475" s="120"/>
      <c r="B475" s="120"/>
      <c r="C475" s="120"/>
      <c r="D475" s="121"/>
      <c r="E475" s="122"/>
      <c r="F475" s="120"/>
      <c r="G475" s="116"/>
      <c r="H475" s="116"/>
      <c r="I475" s="116"/>
      <c r="J475" s="116"/>
      <c r="K475" s="116"/>
      <c r="L475" s="116"/>
      <c r="M475" s="116"/>
      <c r="N475" s="116"/>
      <c r="O475" s="116"/>
      <c r="P475" s="116"/>
      <c r="Q475" s="116"/>
      <c r="R475" s="117"/>
      <c r="S475" s="118"/>
      <c r="T475" s="119"/>
      <c r="W475" s="113"/>
      <c r="X475" s="113"/>
    </row>
    <row r="476" spans="1:24" s="123" customFormat="1" x14ac:dyDescent="0.3">
      <c r="A476" s="120"/>
      <c r="B476" s="120"/>
      <c r="C476" s="120"/>
      <c r="D476" s="121"/>
      <c r="E476" s="122"/>
      <c r="F476" s="120"/>
      <c r="G476" s="116"/>
      <c r="H476" s="116"/>
      <c r="I476" s="116"/>
      <c r="J476" s="116"/>
      <c r="K476" s="116"/>
      <c r="L476" s="116"/>
      <c r="M476" s="116"/>
      <c r="N476" s="116"/>
      <c r="O476" s="116"/>
      <c r="P476" s="116"/>
      <c r="Q476" s="116"/>
      <c r="R476" s="117"/>
      <c r="S476" s="118"/>
      <c r="T476" s="119"/>
      <c r="W476" s="113"/>
      <c r="X476" s="113"/>
    </row>
    <row r="477" spans="1:24" s="123" customFormat="1" x14ac:dyDescent="0.3">
      <c r="A477" s="120"/>
      <c r="B477" s="120"/>
      <c r="C477" s="120"/>
      <c r="D477" s="121"/>
      <c r="E477" s="122"/>
      <c r="F477" s="120"/>
      <c r="G477" s="116"/>
      <c r="H477" s="116"/>
      <c r="I477" s="116"/>
      <c r="J477" s="116"/>
      <c r="K477" s="116"/>
      <c r="L477" s="116"/>
      <c r="M477" s="116"/>
      <c r="N477" s="116"/>
      <c r="O477" s="116"/>
      <c r="P477" s="116"/>
      <c r="Q477" s="116"/>
      <c r="R477" s="117"/>
      <c r="S477" s="118"/>
      <c r="T477" s="119"/>
      <c r="W477" s="113"/>
      <c r="X477" s="113"/>
    </row>
    <row r="478" spans="1:24" s="123" customFormat="1" x14ac:dyDescent="0.3">
      <c r="A478" s="120"/>
      <c r="B478" s="120"/>
      <c r="C478" s="120"/>
      <c r="D478" s="121"/>
      <c r="E478" s="122"/>
      <c r="F478" s="120"/>
      <c r="G478" s="116"/>
      <c r="H478" s="116"/>
      <c r="I478" s="116"/>
      <c r="J478" s="116"/>
      <c r="K478" s="116"/>
      <c r="L478" s="116"/>
      <c r="M478" s="116"/>
      <c r="N478" s="116"/>
      <c r="O478" s="116"/>
      <c r="P478" s="116"/>
      <c r="Q478" s="116"/>
      <c r="R478" s="117"/>
      <c r="S478" s="118"/>
      <c r="T478" s="119"/>
      <c r="W478" s="113"/>
      <c r="X478" s="113"/>
    </row>
    <row r="479" spans="1:24" s="123" customFormat="1" x14ac:dyDescent="0.3">
      <c r="A479" s="120"/>
      <c r="B479" s="120"/>
      <c r="C479" s="120"/>
      <c r="D479" s="121"/>
      <c r="E479" s="122"/>
      <c r="F479" s="120"/>
      <c r="G479" s="116"/>
      <c r="H479" s="116"/>
      <c r="I479" s="116"/>
      <c r="J479" s="116"/>
      <c r="K479" s="116"/>
      <c r="L479" s="116"/>
      <c r="M479" s="116"/>
      <c r="N479" s="116"/>
      <c r="O479" s="116"/>
      <c r="P479" s="116"/>
      <c r="Q479" s="116"/>
      <c r="R479" s="117"/>
      <c r="S479" s="118"/>
      <c r="T479" s="119"/>
      <c r="W479" s="113"/>
      <c r="X479" s="113"/>
    </row>
    <row r="480" spans="1:24" s="123" customFormat="1" x14ac:dyDescent="0.3">
      <c r="A480" s="120"/>
      <c r="B480" s="120"/>
      <c r="C480" s="120"/>
      <c r="D480" s="121"/>
      <c r="E480" s="122"/>
      <c r="F480" s="120"/>
      <c r="G480" s="116"/>
      <c r="H480" s="116"/>
      <c r="I480" s="116"/>
      <c r="J480" s="116"/>
      <c r="K480" s="116"/>
      <c r="L480" s="116"/>
      <c r="M480" s="116"/>
      <c r="N480" s="116"/>
      <c r="O480" s="116"/>
      <c r="P480" s="116"/>
      <c r="Q480" s="116"/>
      <c r="R480" s="117"/>
      <c r="S480" s="118"/>
      <c r="T480" s="119"/>
      <c r="W480" s="113"/>
      <c r="X480" s="113"/>
    </row>
    <row r="481" spans="1:24" s="123" customFormat="1" x14ac:dyDescent="0.3">
      <c r="A481" s="120"/>
      <c r="B481" s="120"/>
      <c r="C481" s="120"/>
      <c r="D481" s="121"/>
      <c r="E481" s="122"/>
      <c r="F481" s="120"/>
      <c r="G481" s="116"/>
      <c r="H481" s="116"/>
      <c r="I481" s="116"/>
      <c r="J481" s="116"/>
      <c r="K481" s="116"/>
      <c r="L481" s="116"/>
      <c r="M481" s="116"/>
      <c r="N481" s="116"/>
      <c r="O481" s="116"/>
      <c r="P481" s="116"/>
      <c r="Q481" s="116"/>
      <c r="R481" s="117"/>
      <c r="S481" s="118"/>
      <c r="T481" s="119"/>
      <c r="W481" s="113"/>
      <c r="X481" s="113"/>
    </row>
    <row r="482" spans="1:24" s="123" customFormat="1" x14ac:dyDescent="0.3">
      <c r="A482" s="120"/>
      <c r="B482" s="120"/>
      <c r="C482" s="120"/>
      <c r="D482" s="121"/>
      <c r="E482" s="122"/>
      <c r="F482" s="120"/>
      <c r="G482" s="116"/>
      <c r="H482" s="116"/>
      <c r="I482" s="116"/>
      <c r="J482" s="116"/>
      <c r="K482" s="116"/>
      <c r="L482" s="116"/>
      <c r="M482" s="116"/>
      <c r="N482" s="116"/>
      <c r="O482" s="116"/>
      <c r="P482" s="116"/>
      <c r="Q482" s="116"/>
      <c r="R482" s="117"/>
      <c r="S482" s="118"/>
      <c r="T482" s="119"/>
      <c r="W482" s="113"/>
      <c r="X482" s="113"/>
    </row>
    <row r="483" spans="1:24" s="123" customFormat="1" x14ac:dyDescent="0.3">
      <c r="A483" s="120"/>
      <c r="B483" s="120"/>
      <c r="C483" s="120"/>
      <c r="D483" s="121"/>
      <c r="E483" s="122"/>
      <c r="F483" s="120"/>
      <c r="G483" s="116"/>
      <c r="H483" s="116"/>
      <c r="I483" s="116"/>
      <c r="J483" s="116"/>
      <c r="K483" s="116"/>
      <c r="L483" s="116"/>
      <c r="M483" s="116"/>
      <c r="N483" s="116"/>
      <c r="O483" s="116"/>
      <c r="P483" s="116"/>
      <c r="Q483" s="116"/>
      <c r="R483" s="117"/>
      <c r="S483" s="118"/>
      <c r="T483" s="119"/>
      <c r="W483" s="113"/>
      <c r="X483" s="113"/>
    </row>
    <row r="484" spans="1:24" s="123" customFormat="1" x14ac:dyDescent="0.3">
      <c r="A484" s="120"/>
      <c r="B484" s="120"/>
      <c r="C484" s="120"/>
      <c r="D484" s="121"/>
      <c r="E484" s="122"/>
      <c r="F484" s="120"/>
      <c r="G484" s="116"/>
      <c r="H484" s="116"/>
      <c r="I484" s="116"/>
      <c r="J484" s="116"/>
      <c r="K484" s="116"/>
      <c r="L484" s="116"/>
      <c r="M484" s="116"/>
      <c r="N484" s="116"/>
      <c r="O484" s="116"/>
      <c r="P484" s="116"/>
      <c r="Q484" s="116"/>
      <c r="R484" s="117"/>
      <c r="S484" s="118"/>
      <c r="T484" s="119"/>
      <c r="W484" s="113"/>
      <c r="X484" s="113"/>
    </row>
    <row r="485" spans="1:24" s="123" customFormat="1" x14ac:dyDescent="0.3">
      <c r="A485" s="120"/>
      <c r="B485" s="120"/>
      <c r="C485" s="120"/>
      <c r="D485" s="121"/>
      <c r="E485" s="122"/>
      <c r="F485" s="120"/>
      <c r="G485" s="116"/>
      <c r="H485" s="116"/>
      <c r="I485" s="116"/>
      <c r="J485" s="116"/>
      <c r="K485" s="116"/>
      <c r="L485" s="116"/>
      <c r="M485" s="116"/>
      <c r="N485" s="116"/>
      <c r="O485" s="116"/>
      <c r="P485" s="116"/>
      <c r="Q485" s="116"/>
      <c r="R485" s="117"/>
      <c r="S485" s="118"/>
      <c r="T485" s="119"/>
      <c r="W485" s="113"/>
      <c r="X485" s="113"/>
    </row>
    <row r="489" spans="1:24" s="123" customFormat="1" x14ac:dyDescent="0.3">
      <c r="A489" s="120"/>
      <c r="B489" s="120"/>
      <c r="C489" s="120"/>
      <c r="D489" s="121"/>
      <c r="E489" s="122"/>
      <c r="F489" s="120"/>
      <c r="G489" s="116"/>
      <c r="H489" s="116"/>
      <c r="I489" s="116"/>
      <c r="J489" s="116"/>
      <c r="K489" s="116"/>
      <c r="L489" s="116"/>
      <c r="M489" s="116"/>
      <c r="N489" s="116"/>
      <c r="O489" s="116"/>
      <c r="P489" s="116"/>
      <c r="Q489" s="116"/>
      <c r="R489" s="117"/>
      <c r="S489" s="118"/>
      <c r="T489" s="119"/>
      <c r="W489" s="113"/>
      <c r="X489" s="113"/>
    </row>
    <row r="490" spans="1:24" s="123" customFormat="1" x14ac:dyDescent="0.3">
      <c r="A490" s="120"/>
      <c r="B490" s="120"/>
      <c r="C490" s="120"/>
      <c r="D490" s="121"/>
      <c r="E490" s="122"/>
      <c r="F490" s="120"/>
      <c r="G490" s="116"/>
      <c r="H490" s="116"/>
      <c r="I490" s="116"/>
      <c r="J490" s="116"/>
      <c r="K490" s="116"/>
      <c r="L490" s="116"/>
      <c r="M490" s="116"/>
      <c r="N490" s="116"/>
      <c r="O490" s="116"/>
      <c r="P490" s="116"/>
      <c r="Q490" s="116"/>
      <c r="R490" s="117"/>
      <c r="S490" s="118"/>
      <c r="T490" s="119"/>
      <c r="W490" s="113"/>
      <c r="X490" s="113"/>
    </row>
    <row r="492" spans="1:24" s="123" customFormat="1" x14ac:dyDescent="0.3">
      <c r="A492" s="120"/>
      <c r="B492" s="120"/>
      <c r="C492" s="120"/>
      <c r="D492" s="121"/>
      <c r="E492" s="122"/>
      <c r="F492" s="120"/>
      <c r="G492" s="116"/>
      <c r="H492" s="116"/>
      <c r="I492" s="116"/>
      <c r="J492" s="116"/>
      <c r="K492" s="116"/>
      <c r="L492" s="116"/>
      <c r="M492" s="116"/>
      <c r="N492" s="116"/>
      <c r="O492" s="116"/>
      <c r="P492" s="116"/>
      <c r="Q492" s="116"/>
      <c r="R492" s="117"/>
      <c r="S492" s="118"/>
      <c r="T492" s="119"/>
      <c r="W492" s="113"/>
      <c r="X492" s="113"/>
    </row>
  </sheetData>
  <mergeCells count="1">
    <mergeCell ref="B1:F1"/>
  </mergeCells>
  <printOptions horizontalCentered="1"/>
  <pageMargins left="0.19685039370078741" right="0.31496062992125984" top="1.1811023622047245" bottom="0.78740157480314965" header="0.39370078740157483" footer="0.31496062992125984"/>
  <pageSetup paperSize="9" scale="82" fitToHeight="6" orientation="portrait" r:id="rId1"/>
  <headerFooter>
    <oddHeader>&amp;C&amp;"Arial,Grassetto"&amp;12
A.P.S.P. "S. Spirito - Fondazione Montel"
- Pergine Valsugana -
CONTO ECONOMICO 2025</oddHeader>
    <oddFooter>&amp;C&amp;P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Conto Economico 2025</vt:lpstr>
      <vt:lpstr>'Conto Economico 2025'!Area_stampa</vt:lpstr>
      <vt:lpstr>'Conto Economico 2025'!Titoli_stampa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Chiara Corradi</dc:creator>
  <cp:lastModifiedBy>Chiara Corradi</cp:lastModifiedBy>
  <dcterms:created xsi:type="dcterms:W3CDTF">2026-05-11T09:08:19Z</dcterms:created>
  <dcterms:modified xsi:type="dcterms:W3CDTF">2026-05-11T09:11:17Z</dcterms:modified>
</cp:coreProperties>
</file>